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ustomProperty9.bin" ContentType="application/vnd.openxmlformats-officedocument.spreadsheetml.customProperty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10.bin" ContentType="application/vnd.openxmlformats-officedocument.spreadsheetml.customProperty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30" windowWidth="5595" windowHeight="4110" activeTab="8"/>
  </bookViews>
  <sheets>
    <sheet name="ESP." sheetId="1" r:id="rId1"/>
    <sheet name="MAT." sheetId="2" r:id="rId2"/>
    <sheet name="HIST." sheetId="6" r:id="rId3"/>
    <sheet name="GEO." sheetId="5" r:id="rId4"/>
    <sheet name="CIV." sheetId="4" r:id="rId5"/>
    <sheet name="CIENCIAS" sheetId="3" r:id="rId6"/>
    <sheet name="EDUFISICA" sheetId="8" r:id="rId7"/>
    <sheet name="DV-IDENTITY-0" sheetId="7" state="veryHidden" r:id="rId8"/>
    <sheet name="ARTES" sheetId="10" r:id="rId9"/>
    <sheet name="Hoja2" sheetId="9" r:id="rId10"/>
  </sheets>
  <calcPr calcId="125725"/>
</workbook>
</file>

<file path=xl/calcChain.xml><?xml version="1.0" encoding="utf-8"?>
<calcChain xmlns="http://schemas.openxmlformats.org/spreadsheetml/2006/main">
  <c r="A16" i="7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Y16"/>
  <c r="CZ16"/>
  <c r="DA16"/>
  <c r="DB16"/>
  <c r="DC16"/>
  <c r="DD16"/>
  <c r="DE16"/>
  <c r="DF16"/>
  <c r="DG16"/>
  <c r="DH16"/>
  <c r="DI16"/>
  <c r="DJ16"/>
  <c r="DK16"/>
  <c r="DL16"/>
  <c r="DM16"/>
  <c r="DN16"/>
  <c r="DO16"/>
  <c r="DP16"/>
  <c r="DQ16"/>
  <c r="DR16"/>
  <c r="DS16"/>
  <c r="DT16"/>
  <c r="DU16"/>
  <c r="DV16"/>
  <c r="DW16"/>
  <c r="DX16"/>
  <c r="DY16"/>
  <c r="DZ16"/>
  <c r="EA16"/>
  <c r="EB16"/>
  <c r="EC16"/>
  <c r="ED16"/>
  <c r="EE16"/>
  <c r="EF16"/>
  <c r="EG16"/>
  <c r="EH16"/>
  <c r="EI16"/>
  <c r="EJ16"/>
  <c r="EK16"/>
  <c r="EL16"/>
  <c r="EM16"/>
  <c r="EN16"/>
  <c r="EO16"/>
  <c r="EP16"/>
  <c r="EQ16"/>
  <c r="ER16"/>
  <c r="ES16"/>
  <c r="ET16"/>
  <c r="EU16"/>
  <c r="EV16"/>
  <c r="EW16"/>
  <c r="EX16"/>
  <c r="EY16"/>
  <c r="EZ16"/>
  <c r="FA16"/>
  <c r="FB16"/>
  <c r="FC16"/>
  <c r="FD16"/>
  <c r="FE16"/>
  <c r="FF16"/>
  <c r="FG16"/>
  <c r="FH16"/>
  <c r="FI16"/>
  <c r="FJ16"/>
  <c r="FK16"/>
  <c r="FL16"/>
  <c r="FM16"/>
  <c r="FN16"/>
  <c r="FO16"/>
  <c r="FP16"/>
  <c r="FQ16"/>
  <c r="FR16"/>
  <c r="FS16"/>
  <c r="FT16"/>
  <c r="FU16"/>
  <c r="FV16"/>
  <c r="FW16"/>
  <c r="FX16"/>
  <c r="FY16"/>
  <c r="A15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DV15"/>
  <c r="DW15"/>
  <c r="DX15"/>
  <c r="DY15"/>
  <c r="DZ15"/>
  <c r="EA15"/>
  <c r="EB15"/>
  <c r="EC15"/>
  <c r="ED15"/>
  <c r="EE15"/>
  <c r="EF15"/>
  <c r="EG15"/>
  <c r="EH15"/>
  <c r="EI15"/>
  <c r="EJ15"/>
  <c r="EK15"/>
  <c r="EL15"/>
  <c r="EM15"/>
  <c r="EN15"/>
  <c r="EO15"/>
  <c r="EP15"/>
  <c r="EQ15"/>
  <c r="ER15"/>
  <c r="ES15"/>
  <c r="ET15"/>
  <c r="EU15"/>
  <c r="EV15"/>
  <c r="EW15"/>
  <c r="EX15"/>
  <c r="EY15"/>
  <c r="EZ15"/>
  <c r="FA15"/>
  <c r="FB15"/>
  <c r="FC15"/>
  <c r="FD15"/>
  <c r="FE15"/>
  <c r="FF15"/>
  <c r="FG15"/>
  <c r="FH15"/>
  <c r="FI15"/>
  <c r="FJ15"/>
  <c r="FK15"/>
  <c r="FL15"/>
  <c r="FM15"/>
  <c r="FN15"/>
  <c r="FO15"/>
  <c r="FP15"/>
  <c r="FQ15"/>
  <c r="FR15"/>
  <c r="FS15"/>
  <c r="FT15"/>
  <c r="FU15"/>
  <c r="FV15"/>
  <c r="FW15"/>
  <c r="FX15"/>
  <c r="FY15"/>
  <c r="FZ15"/>
  <c r="GA15"/>
  <c r="GB15"/>
  <c r="GC15"/>
  <c r="GD15"/>
  <c r="GE15"/>
  <c r="GF15"/>
  <c r="GG15"/>
  <c r="GH15"/>
  <c r="GI15"/>
  <c r="GJ15"/>
  <c r="GK15"/>
  <c r="GL15"/>
  <c r="GM15"/>
  <c r="GN15"/>
  <c r="GO15"/>
  <c r="GP15"/>
  <c r="GQ15"/>
  <c r="GR15"/>
  <c r="GS15"/>
  <c r="GT15"/>
  <c r="GU15"/>
  <c r="GV15"/>
  <c r="GW15"/>
  <c r="GX15"/>
  <c r="GY15"/>
  <c r="GZ15"/>
  <c r="HA15"/>
  <c r="HB15"/>
  <c r="HC15"/>
  <c r="HD15"/>
  <c r="HE15"/>
  <c r="HF15"/>
  <c r="HG15"/>
  <c r="HH15"/>
  <c r="HI15"/>
  <c r="HJ15"/>
  <c r="HK15"/>
  <c r="HL15"/>
  <c r="HM15"/>
  <c r="HN15"/>
  <c r="HO15"/>
  <c r="HP15"/>
  <c r="HQ15"/>
  <c r="HR15"/>
  <c r="HS15"/>
  <c r="HT15"/>
  <c r="HU15"/>
  <c r="HV15"/>
  <c r="HW15"/>
  <c r="HX15"/>
  <c r="HY15"/>
  <c r="HZ15"/>
  <c r="IA15"/>
  <c r="IB15"/>
  <c r="IC15"/>
  <c r="ID15"/>
  <c r="IE15"/>
  <c r="IF15"/>
  <c r="IG15"/>
  <c r="IH15"/>
  <c r="II15"/>
  <c r="IJ15"/>
  <c r="IK15"/>
  <c r="IL15"/>
  <c r="IM15"/>
  <c r="IN15"/>
  <c r="IO15"/>
  <c r="IP15"/>
  <c r="IQ15"/>
  <c r="IR15"/>
  <c r="IS15"/>
  <c r="IT15"/>
  <c r="IU15"/>
  <c r="IV15"/>
  <c r="A14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Y14"/>
  <c r="CZ14"/>
  <c r="DA14"/>
  <c r="DB14"/>
  <c r="DC14"/>
  <c r="DD14"/>
  <c r="DE14"/>
  <c r="DF14"/>
  <c r="DG14"/>
  <c r="DH14"/>
  <c r="DI14"/>
  <c r="DJ14"/>
  <c r="DK14"/>
  <c r="DL14"/>
  <c r="DM14"/>
  <c r="DN14"/>
  <c r="DO14"/>
  <c r="DP14"/>
  <c r="DQ14"/>
  <c r="DR14"/>
  <c r="DS14"/>
  <c r="DT14"/>
  <c r="DU14"/>
  <c r="DV14"/>
  <c r="DW14"/>
  <c r="DX14"/>
  <c r="DY14"/>
  <c r="DZ14"/>
  <c r="EA14"/>
  <c r="EB14"/>
  <c r="EC14"/>
  <c r="ED14"/>
  <c r="EE14"/>
  <c r="EF14"/>
  <c r="EG14"/>
  <c r="EH14"/>
  <c r="EI14"/>
  <c r="EJ14"/>
  <c r="EK14"/>
  <c r="EL14"/>
  <c r="EM14"/>
  <c r="EN14"/>
  <c r="EO14"/>
  <c r="EP14"/>
  <c r="EQ14"/>
  <c r="ER14"/>
  <c r="ES14"/>
  <c r="ET14"/>
  <c r="EU14"/>
  <c r="EV14"/>
  <c r="EW14"/>
  <c r="EX14"/>
  <c r="EY14"/>
  <c r="EZ14"/>
  <c r="FA14"/>
  <c r="FB14"/>
  <c r="FC14"/>
  <c r="FD14"/>
  <c r="FE14"/>
  <c r="FF14"/>
  <c r="FG14"/>
  <c r="FH14"/>
  <c r="FI14"/>
  <c r="FJ14"/>
  <c r="FK14"/>
  <c r="FL14"/>
  <c r="FM14"/>
  <c r="FN14"/>
  <c r="FO14"/>
  <c r="FP14"/>
  <c r="FQ14"/>
  <c r="FR14"/>
  <c r="FS14"/>
  <c r="FT14"/>
  <c r="FU14"/>
  <c r="FV14"/>
  <c r="FW14"/>
  <c r="FX14"/>
  <c r="FY14"/>
  <c r="FZ14"/>
  <c r="GA14"/>
  <c r="GB14"/>
  <c r="GC14"/>
  <c r="GD14"/>
  <c r="GE14"/>
  <c r="GF14"/>
  <c r="GG14"/>
  <c r="GH14"/>
  <c r="GI14"/>
  <c r="GJ14"/>
  <c r="GK14"/>
  <c r="GL14"/>
  <c r="GM14"/>
  <c r="GN14"/>
  <c r="GO14"/>
  <c r="GP14"/>
  <c r="GQ14"/>
  <c r="GR14"/>
  <c r="GS14"/>
  <c r="GT14"/>
  <c r="GU14"/>
  <c r="GV14"/>
  <c r="GW14"/>
  <c r="GX14"/>
  <c r="GY14"/>
  <c r="GZ14"/>
  <c r="HA14"/>
  <c r="HB14"/>
  <c r="HC14"/>
  <c r="HD14"/>
  <c r="HE14"/>
  <c r="HF14"/>
  <c r="HG14"/>
  <c r="HH14"/>
  <c r="HI14"/>
  <c r="HJ14"/>
  <c r="HK14"/>
  <c r="HL14"/>
  <c r="HM14"/>
  <c r="HN14"/>
  <c r="HO14"/>
  <c r="HP14"/>
  <c r="HQ14"/>
  <c r="HR14"/>
  <c r="HS14"/>
  <c r="HT14"/>
  <c r="HU14"/>
  <c r="HV14"/>
  <c r="HW14"/>
  <c r="HX14"/>
  <c r="HY14"/>
  <c r="HZ14"/>
  <c r="IA14"/>
  <c r="IB14"/>
  <c r="IC14"/>
  <c r="ID14"/>
  <c r="IE14"/>
  <c r="IF14"/>
  <c r="IG14"/>
  <c r="IH14"/>
  <c r="II14"/>
  <c r="IJ14"/>
  <c r="IK14"/>
  <c r="IL14"/>
  <c r="IM14"/>
  <c r="IN14"/>
  <c r="IO14"/>
  <c r="IP14"/>
  <c r="IQ14"/>
  <c r="IR14"/>
  <c r="IS14"/>
  <c r="IT14"/>
  <c r="IU14"/>
  <c r="IV14"/>
  <c r="A13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Y13"/>
  <c r="CZ13"/>
  <c r="DA13"/>
  <c r="DB13"/>
  <c r="DC13"/>
  <c r="DD13"/>
  <c r="DE13"/>
  <c r="DF13"/>
  <c r="DG13"/>
  <c r="DH13"/>
  <c r="DI13"/>
  <c r="DJ13"/>
  <c r="DK13"/>
  <c r="DL13"/>
  <c r="DM13"/>
  <c r="DN13"/>
  <c r="DO13"/>
  <c r="DP13"/>
  <c r="DQ13"/>
  <c r="DR13"/>
  <c r="DS13"/>
  <c r="DT13"/>
  <c r="DU13"/>
  <c r="DV13"/>
  <c r="DW13"/>
  <c r="DX13"/>
  <c r="DY13"/>
  <c r="DZ13"/>
  <c r="EA13"/>
  <c r="EB13"/>
  <c r="EC13"/>
  <c r="ED13"/>
  <c r="EE13"/>
  <c r="EF13"/>
  <c r="EG13"/>
  <c r="EH13"/>
  <c r="EI13"/>
  <c r="EJ13"/>
  <c r="EK13"/>
  <c r="EL13"/>
  <c r="EM13"/>
  <c r="EN13"/>
  <c r="EO13"/>
  <c r="EP13"/>
  <c r="EQ13"/>
  <c r="ER13"/>
  <c r="ES13"/>
  <c r="ET13"/>
  <c r="EU13"/>
  <c r="EV13"/>
  <c r="EW13"/>
  <c r="EX13"/>
  <c r="EY13"/>
  <c r="EZ13"/>
  <c r="FA13"/>
  <c r="FB13"/>
  <c r="FC13"/>
  <c r="FD13"/>
  <c r="FE13"/>
  <c r="FF13"/>
  <c r="FG13"/>
  <c r="FH13"/>
  <c r="FI13"/>
  <c r="FJ13"/>
  <c r="FK13"/>
  <c r="FL13"/>
  <c r="FM13"/>
  <c r="FN13"/>
  <c r="FO13"/>
  <c r="FP13"/>
  <c r="FQ13"/>
  <c r="FR13"/>
  <c r="FS13"/>
  <c r="FT13"/>
  <c r="FU13"/>
  <c r="FV13"/>
  <c r="FW13"/>
  <c r="FX13"/>
  <c r="FY13"/>
  <c r="FZ13"/>
  <c r="GA13"/>
  <c r="GB13"/>
  <c r="GC13"/>
  <c r="GD13"/>
  <c r="GE13"/>
  <c r="GF13"/>
  <c r="GG13"/>
  <c r="GH13"/>
  <c r="GI13"/>
  <c r="GJ13"/>
  <c r="GK13"/>
  <c r="GL13"/>
  <c r="GM13"/>
  <c r="GN13"/>
  <c r="GO13"/>
  <c r="GP13"/>
  <c r="GQ13"/>
  <c r="GR13"/>
  <c r="GS13"/>
  <c r="GT13"/>
  <c r="GU13"/>
  <c r="GV13"/>
  <c r="GW13"/>
  <c r="GX13"/>
  <c r="GY13"/>
  <c r="GZ13"/>
  <c r="HA13"/>
  <c r="HB13"/>
  <c r="HC13"/>
  <c r="HD13"/>
  <c r="HE13"/>
  <c r="HF13"/>
  <c r="HG13"/>
  <c r="HH13"/>
  <c r="HI13"/>
  <c r="HJ13"/>
  <c r="HK13"/>
  <c r="HL13"/>
  <c r="HM13"/>
  <c r="HN13"/>
  <c r="HO13"/>
  <c r="HP13"/>
  <c r="HQ13"/>
  <c r="HR13"/>
  <c r="HS13"/>
  <c r="HT13"/>
  <c r="HU13"/>
  <c r="HV13"/>
  <c r="HW13"/>
  <c r="HX13"/>
  <c r="HY13"/>
  <c r="HZ13"/>
  <c r="IA13"/>
  <c r="IB13"/>
  <c r="IC13"/>
  <c r="ID13"/>
  <c r="IE13"/>
  <c r="IF13"/>
  <c r="IG13"/>
  <c r="IH13"/>
  <c r="II13"/>
  <c r="IJ13"/>
  <c r="IK13"/>
  <c r="IL13"/>
  <c r="IM13"/>
  <c r="IN13"/>
  <c r="IO13"/>
  <c r="IP13"/>
  <c r="IQ13"/>
  <c r="IR13"/>
  <c r="IS13"/>
  <c r="IT13"/>
  <c r="IU13"/>
  <c r="IV13"/>
  <c r="A12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A11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Y11"/>
  <c r="CZ11"/>
  <c r="DA11"/>
  <c r="DB11"/>
  <c r="DC11"/>
  <c r="DD11"/>
  <c r="DE11"/>
  <c r="DF11"/>
  <c r="DG11"/>
  <c r="DH11"/>
  <c r="DI11"/>
  <c r="DJ11"/>
  <c r="DK11"/>
  <c r="DL11"/>
  <c r="DM11"/>
  <c r="DN11"/>
  <c r="DO11"/>
  <c r="DP11"/>
  <c r="DQ11"/>
  <c r="DR11"/>
  <c r="DS11"/>
  <c r="DT11"/>
  <c r="DU11"/>
  <c r="DV11"/>
  <c r="DW11"/>
  <c r="DX11"/>
  <c r="DY11"/>
  <c r="DZ11"/>
  <c r="EA11"/>
  <c r="EB11"/>
  <c r="EC11"/>
  <c r="ED11"/>
  <c r="EE11"/>
  <c r="EF11"/>
  <c r="EG11"/>
  <c r="EH11"/>
  <c r="EI11"/>
  <c r="EJ11"/>
  <c r="EK11"/>
  <c r="EL11"/>
  <c r="EM11"/>
  <c r="EN11"/>
  <c r="EO11"/>
  <c r="EP11"/>
  <c r="EQ11"/>
  <c r="ER11"/>
  <c r="ES11"/>
  <c r="ET11"/>
  <c r="EU11"/>
  <c r="EV11"/>
  <c r="EW11"/>
  <c r="EX11"/>
  <c r="EY11"/>
  <c r="EZ11"/>
  <c r="FA11"/>
  <c r="FB11"/>
  <c r="FC11"/>
  <c r="FD11"/>
  <c r="FE11"/>
  <c r="FF11"/>
  <c r="FG11"/>
  <c r="FH11"/>
  <c r="FI11"/>
  <c r="FJ11"/>
  <c r="FK11"/>
  <c r="FL11"/>
  <c r="FM11"/>
  <c r="FN11"/>
  <c r="FO11"/>
  <c r="FP11"/>
  <c r="FQ11"/>
  <c r="FR11"/>
  <c r="FS11"/>
  <c r="FT11"/>
  <c r="FU11"/>
  <c r="FV11"/>
  <c r="FW11"/>
  <c r="FX11"/>
  <c r="FY11"/>
  <c r="FZ11"/>
  <c r="GA11"/>
  <c r="GB11"/>
  <c r="GC11"/>
  <c r="GD11"/>
  <c r="GE11"/>
  <c r="GF11"/>
  <c r="GG11"/>
  <c r="GH11"/>
  <c r="GI11"/>
  <c r="GJ11"/>
  <c r="GK11"/>
  <c r="GL11"/>
  <c r="GM11"/>
  <c r="GN11"/>
  <c r="GO11"/>
  <c r="GP11"/>
  <c r="GQ11"/>
  <c r="GR11"/>
  <c r="GS11"/>
  <c r="GT11"/>
  <c r="GU11"/>
  <c r="GV11"/>
  <c r="GW11"/>
  <c r="GX11"/>
  <c r="GY11"/>
  <c r="GZ11"/>
  <c r="HA11"/>
  <c r="HB11"/>
  <c r="HC11"/>
  <c r="HD11"/>
  <c r="HE11"/>
  <c r="HF11"/>
  <c r="HG11"/>
  <c r="HH11"/>
  <c r="HI11"/>
  <c r="HJ11"/>
  <c r="HK11"/>
  <c r="HL11"/>
  <c r="HM11"/>
  <c r="HN11"/>
  <c r="HO11"/>
  <c r="HP11"/>
  <c r="HQ11"/>
  <c r="HR11"/>
  <c r="HS11"/>
  <c r="HT11"/>
  <c r="HU11"/>
  <c r="HV11"/>
  <c r="HW11"/>
  <c r="HX11"/>
  <c r="HY11"/>
  <c r="HZ11"/>
  <c r="IA11"/>
  <c r="IB11"/>
  <c r="IC11"/>
  <c r="ID11"/>
  <c r="IE11"/>
  <c r="IF11"/>
  <c r="IG11"/>
  <c r="IH11"/>
  <c r="II11"/>
  <c r="IJ11"/>
  <c r="IK11"/>
  <c r="IL11"/>
  <c r="IM11"/>
  <c r="IN11"/>
  <c r="IO11"/>
  <c r="IP11"/>
  <c r="IQ11"/>
  <c r="IR11"/>
  <c r="IS11"/>
  <c r="IT11"/>
  <c r="IU11"/>
  <c r="IV11"/>
  <c r="A10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Y10"/>
  <c r="CZ10"/>
  <c r="DA10"/>
  <c r="DB10"/>
  <c r="DC10"/>
  <c r="DD10"/>
  <c r="DE10"/>
  <c r="DF10"/>
  <c r="DG10"/>
  <c r="DH10"/>
  <c r="DI10"/>
  <c r="DJ10"/>
  <c r="DK10"/>
  <c r="DL10"/>
  <c r="DM10"/>
  <c r="DN10"/>
  <c r="DO10"/>
  <c r="DP10"/>
  <c r="DQ10"/>
  <c r="DR10"/>
  <c r="DS10"/>
  <c r="DT10"/>
  <c r="DU10"/>
  <c r="DV10"/>
  <c r="DW10"/>
  <c r="DX10"/>
  <c r="DY10"/>
  <c r="DZ10"/>
  <c r="EA10"/>
  <c r="EB10"/>
  <c r="EC10"/>
  <c r="ED10"/>
  <c r="EE10"/>
  <c r="EF10"/>
  <c r="EG10"/>
  <c r="EH10"/>
  <c r="EI10"/>
  <c r="EJ10"/>
  <c r="EK10"/>
  <c r="EL10"/>
  <c r="EM10"/>
  <c r="EN10"/>
  <c r="EO10"/>
  <c r="EP10"/>
  <c r="EQ10"/>
  <c r="ER10"/>
  <c r="ES10"/>
  <c r="ET10"/>
  <c r="EU10"/>
  <c r="EV10"/>
  <c r="EW10"/>
  <c r="EX10"/>
  <c r="EY10"/>
  <c r="EZ10"/>
  <c r="FA10"/>
  <c r="FB10"/>
  <c r="FC10"/>
  <c r="FD10"/>
  <c r="FE10"/>
  <c r="FF10"/>
  <c r="FG10"/>
  <c r="FH10"/>
  <c r="FI10"/>
  <c r="FJ10"/>
  <c r="FK10"/>
  <c r="FL10"/>
  <c r="FM10"/>
  <c r="FN10"/>
  <c r="FO10"/>
  <c r="FP10"/>
  <c r="FQ10"/>
  <c r="FR10"/>
  <c r="FS10"/>
  <c r="FT10"/>
  <c r="FU10"/>
  <c r="FV10"/>
  <c r="FW10"/>
  <c r="FX10"/>
  <c r="FY10"/>
  <c r="FZ10"/>
  <c r="GA10"/>
  <c r="GB10"/>
  <c r="GC10"/>
  <c r="GD10"/>
  <c r="GE10"/>
  <c r="GF10"/>
  <c r="GG10"/>
  <c r="GH10"/>
  <c r="GI10"/>
  <c r="GJ10"/>
  <c r="GK10"/>
  <c r="GL10"/>
  <c r="GM10"/>
  <c r="GN10"/>
  <c r="GO10"/>
  <c r="GP10"/>
  <c r="GQ10"/>
  <c r="GR10"/>
  <c r="GS10"/>
  <c r="GT10"/>
  <c r="GU10"/>
  <c r="GV10"/>
  <c r="GW10"/>
  <c r="GX10"/>
  <c r="GY10"/>
  <c r="GZ10"/>
  <c r="HA10"/>
  <c r="HB10"/>
  <c r="HC10"/>
  <c r="HD10"/>
  <c r="HE10"/>
  <c r="HF10"/>
  <c r="HG10"/>
  <c r="HH10"/>
  <c r="HI10"/>
  <c r="HJ10"/>
  <c r="HK10"/>
  <c r="HL10"/>
  <c r="HM10"/>
  <c r="HN10"/>
  <c r="HO10"/>
  <c r="HP10"/>
  <c r="HQ10"/>
  <c r="HR10"/>
  <c r="HS10"/>
  <c r="HT10"/>
  <c r="HU10"/>
  <c r="HV10"/>
  <c r="HW10"/>
  <c r="HX10"/>
  <c r="HY10"/>
  <c r="HZ10"/>
  <c r="IA10"/>
  <c r="IB10"/>
  <c r="IC10"/>
  <c r="ID10"/>
  <c r="IE10"/>
  <c r="IF10"/>
  <c r="IG10"/>
  <c r="IH10"/>
  <c r="II10"/>
  <c r="IJ10"/>
  <c r="IK10"/>
  <c r="IL10"/>
  <c r="IM10"/>
  <c r="IN10"/>
  <c r="IO10"/>
  <c r="IP10"/>
  <c r="IQ10"/>
  <c r="IR10"/>
  <c r="IS10"/>
  <c r="IT10"/>
  <c r="IU10"/>
  <c r="IV10"/>
  <c r="A9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Y9"/>
  <c r="CZ9"/>
  <c r="DA9"/>
  <c r="DB9"/>
  <c r="DC9"/>
  <c r="DD9"/>
  <c r="DE9"/>
  <c r="DF9"/>
  <c r="DG9"/>
  <c r="DH9"/>
  <c r="DI9"/>
  <c r="DJ9"/>
  <c r="DK9"/>
  <c r="DL9"/>
  <c r="DM9"/>
  <c r="DN9"/>
  <c r="DO9"/>
  <c r="DP9"/>
  <c r="DQ9"/>
  <c r="DR9"/>
  <c r="DS9"/>
  <c r="DT9"/>
  <c r="DU9"/>
  <c r="DV9"/>
  <c r="DW9"/>
  <c r="DX9"/>
  <c r="DY9"/>
  <c r="DZ9"/>
  <c r="EA9"/>
  <c r="EB9"/>
  <c r="EC9"/>
  <c r="ED9"/>
  <c r="EE9"/>
  <c r="EF9"/>
  <c r="EG9"/>
  <c r="EH9"/>
  <c r="EI9"/>
  <c r="EJ9"/>
  <c r="EK9"/>
  <c r="EL9"/>
  <c r="EM9"/>
  <c r="EN9"/>
  <c r="EO9"/>
  <c r="EP9"/>
  <c r="EQ9"/>
  <c r="ER9"/>
  <c r="ES9"/>
  <c r="ET9"/>
  <c r="EU9"/>
  <c r="EV9"/>
  <c r="EW9"/>
  <c r="EX9"/>
  <c r="EY9"/>
  <c r="EZ9"/>
  <c r="FA9"/>
  <c r="FB9"/>
  <c r="FC9"/>
  <c r="FD9"/>
  <c r="FE9"/>
  <c r="FF9"/>
  <c r="FG9"/>
  <c r="FH9"/>
  <c r="FI9"/>
  <c r="FJ9"/>
  <c r="FK9"/>
  <c r="FL9"/>
  <c r="FM9"/>
  <c r="FN9"/>
  <c r="FO9"/>
  <c r="FP9"/>
  <c r="FQ9"/>
  <c r="FR9"/>
  <c r="FS9"/>
  <c r="FT9"/>
  <c r="FU9"/>
  <c r="FV9"/>
  <c r="FW9"/>
  <c r="FX9"/>
  <c r="FY9"/>
  <c r="FZ9"/>
  <c r="GA9"/>
  <c r="GB9"/>
  <c r="GC9"/>
  <c r="GD9"/>
  <c r="GE9"/>
  <c r="GF9"/>
  <c r="GG9"/>
  <c r="GH9"/>
  <c r="GI9"/>
  <c r="GJ9"/>
  <c r="GK9"/>
  <c r="GL9"/>
  <c r="GM9"/>
  <c r="GN9"/>
  <c r="GO9"/>
  <c r="GP9"/>
  <c r="GQ9"/>
  <c r="GR9"/>
  <c r="GS9"/>
  <c r="GT9"/>
  <c r="GU9"/>
  <c r="GV9"/>
  <c r="GW9"/>
  <c r="GX9"/>
  <c r="GY9"/>
  <c r="GZ9"/>
  <c r="HA9"/>
  <c r="HB9"/>
  <c r="HC9"/>
  <c r="HD9"/>
  <c r="HE9"/>
  <c r="HF9"/>
  <c r="HG9"/>
  <c r="HH9"/>
  <c r="HI9"/>
  <c r="HJ9"/>
  <c r="HK9"/>
  <c r="HL9"/>
  <c r="HM9"/>
  <c r="HN9"/>
  <c r="HO9"/>
  <c r="HP9"/>
  <c r="HQ9"/>
  <c r="HR9"/>
  <c r="HS9"/>
  <c r="HT9"/>
  <c r="HU9"/>
  <c r="HV9"/>
  <c r="HW9"/>
  <c r="HX9"/>
  <c r="HY9"/>
  <c r="HZ9"/>
  <c r="IA9"/>
  <c r="IB9"/>
  <c r="IC9"/>
  <c r="ID9"/>
  <c r="IE9"/>
  <c r="IF9"/>
  <c r="IG9"/>
  <c r="IH9"/>
  <c r="II9"/>
  <c r="IJ9"/>
  <c r="IK9"/>
  <c r="IL9"/>
  <c r="IM9"/>
  <c r="IN9"/>
  <c r="IO9"/>
  <c r="IP9"/>
  <c r="IQ9"/>
  <c r="IR9"/>
  <c r="IS9"/>
  <c r="IT9"/>
  <c r="IU9"/>
  <c r="IV9"/>
  <c r="A8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Y8"/>
  <c r="CZ8"/>
  <c r="DA8"/>
  <c r="DB8"/>
  <c r="DC8"/>
  <c r="DD8"/>
  <c r="DE8"/>
  <c r="DF8"/>
  <c r="DG8"/>
  <c r="DH8"/>
  <c r="DI8"/>
  <c r="DJ8"/>
  <c r="DK8"/>
  <c r="DL8"/>
  <c r="DM8"/>
  <c r="DN8"/>
  <c r="DO8"/>
  <c r="DP8"/>
  <c r="DQ8"/>
  <c r="DR8"/>
  <c r="DS8"/>
  <c r="DT8"/>
  <c r="DU8"/>
  <c r="DV8"/>
  <c r="DW8"/>
  <c r="DX8"/>
  <c r="DY8"/>
  <c r="DZ8"/>
  <c r="EA8"/>
  <c r="EB8"/>
  <c r="EC8"/>
  <c r="ED8"/>
  <c r="EE8"/>
  <c r="EF8"/>
  <c r="EG8"/>
  <c r="EH8"/>
  <c r="EI8"/>
  <c r="EJ8"/>
  <c r="EK8"/>
  <c r="EL8"/>
  <c r="EM8"/>
  <c r="EN8"/>
  <c r="EO8"/>
  <c r="EP8"/>
  <c r="EQ8"/>
  <c r="ER8"/>
  <c r="ES8"/>
  <c r="ET8"/>
  <c r="EU8"/>
  <c r="EV8"/>
  <c r="EW8"/>
  <c r="EX8"/>
  <c r="EY8"/>
  <c r="EZ8"/>
  <c r="FA8"/>
  <c r="FB8"/>
  <c r="FC8"/>
  <c r="FD8"/>
  <c r="FE8"/>
  <c r="FF8"/>
  <c r="FG8"/>
  <c r="FH8"/>
  <c r="FI8"/>
  <c r="FJ8"/>
  <c r="FK8"/>
  <c r="FL8"/>
  <c r="FM8"/>
  <c r="FN8"/>
  <c r="FO8"/>
  <c r="FP8"/>
  <c r="FQ8"/>
  <c r="FR8"/>
  <c r="FS8"/>
  <c r="FT8"/>
  <c r="FU8"/>
  <c r="FV8"/>
  <c r="FW8"/>
  <c r="FX8"/>
  <c r="FY8"/>
  <c r="FZ8"/>
  <c r="GA8"/>
  <c r="GB8"/>
  <c r="GC8"/>
  <c r="GD8"/>
  <c r="GE8"/>
  <c r="GF8"/>
  <c r="GG8"/>
  <c r="GH8"/>
  <c r="GI8"/>
  <c r="GJ8"/>
  <c r="GK8"/>
  <c r="GL8"/>
  <c r="GM8"/>
  <c r="GN8"/>
  <c r="GO8"/>
  <c r="GP8"/>
  <c r="GQ8"/>
  <c r="GR8"/>
  <c r="GS8"/>
  <c r="GT8"/>
  <c r="GU8"/>
  <c r="GV8"/>
  <c r="GW8"/>
  <c r="GX8"/>
  <c r="GY8"/>
  <c r="GZ8"/>
  <c r="HA8"/>
  <c r="HB8"/>
  <c r="HC8"/>
  <c r="HD8"/>
  <c r="HE8"/>
  <c r="HF8"/>
  <c r="HG8"/>
  <c r="HH8"/>
  <c r="HI8"/>
  <c r="HJ8"/>
  <c r="HK8"/>
  <c r="HL8"/>
  <c r="HM8"/>
  <c r="HN8"/>
  <c r="HO8"/>
  <c r="HP8"/>
  <c r="HQ8"/>
  <c r="HR8"/>
  <c r="HS8"/>
  <c r="HT8"/>
  <c r="HU8"/>
  <c r="HV8"/>
  <c r="HW8"/>
  <c r="HX8"/>
  <c r="HY8"/>
  <c r="HZ8"/>
  <c r="IA8"/>
  <c r="IB8"/>
  <c r="IC8"/>
  <c r="ID8"/>
  <c r="IE8"/>
  <c r="IF8"/>
  <c r="IG8"/>
  <c r="IH8"/>
  <c r="II8"/>
  <c r="IJ8"/>
  <c r="IK8"/>
  <c r="IL8"/>
  <c r="IM8"/>
  <c r="IN8"/>
  <c r="IO8"/>
  <c r="IP8"/>
  <c r="IQ8"/>
  <c r="IR8"/>
  <c r="IS8"/>
  <c r="IT8"/>
  <c r="IU8"/>
  <c r="IV8"/>
  <c r="A7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Y7"/>
  <c r="CZ7"/>
  <c r="DA7"/>
  <c r="DB7"/>
  <c r="DC7"/>
  <c r="DD7"/>
  <c r="DE7"/>
  <c r="DF7"/>
  <c r="DG7"/>
  <c r="DH7"/>
  <c r="DI7"/>
  <c r="DJ7"/>
  <c r="DK7"/>
  <c r="DL7"/>
  <c r="DM7"/>
  <c r="DN7"/>
  <c r="DO7"/>
  <c r="DP7"/>
  <c r="DQ7"/>
  <c r="DR7"/>
  <c r="DS7"/>
  <c r="DT7"/>
  <c r="DU7"/>
  <c r="DV7"/>
  <c r="DW7"/>
  <c r="DX7"/>
  <c r="DY7"/>
  <c r="DZ7"/>
  <c r="EA7"/>
  <c r="EB7"/>
  <c r="EC7"/>
  <c r="ED7"/>
  <c r="EE7"/>
  <c r="EF7"/>
  <c r="EG7"/>
  <c r="EH7"/>
  <c r="EI7"/>
  <c r="EJ7"/>
  <c r="EK7"/>
  <c r="EL7"/>
  <c r="EM7"/>
  <c r="EN7"/>
  <c r="EO7"/>
  <c r="EP7"/>
  <c r="EQ7"/>
  <c r="ER7"/>
  <c r="ES7"/>
  <c r="ET7"/>
  <c r="EU7"/>
  <c r="EV7"/>
  <c r="EW7"/>
  <c r="EX7"/>
  <c r="EY7"/>
  <c r="EZ7"/>
  <c r="FA7"/>
  <c r="FB7"/>
  <c r="FC7"/>
  <c r="FD7"/>
  <c r="FE7"/>
  <c r="FF7"/>
  <c r="FG7"/>
  <c r="FH7"/>
  <c r="FI7"/>
  <c r="FJ7"/>
  <c r="FK7"/>
  <c r="FL7"/>
  <c r="FM7"/>
  <c r="FN7"/>
  <c r="FO7"/>
  <c r="FP7"/>
  <c r="FQ7"/>
  <c r="FR7"/>
  <c r="FS7"/>
  <c r="FT7"/>
  <c r="FU7"/>
  <c r="FV7"/>
  <c r="FW7"/>
  <c r="FX7"/>
  <c r="FY7"/>
  <c r="FZ7"/>
  <c r="GA7"/>
  <c r="GB7"/>
  <c r="GC7"/>
  <c r="GD7"/>
  <c r="GE7"/>
  <c r="GF7"/>
  <c r="GG7"/>
  <c r="GH7"/>
  <c r="GI7"/>
  <c r="GJ7"/>
  <c r="GK7"/>
  <c r="GL7"/>
  <c r="GM7"/>
  <c r="GN7"/>
  <c r="GO7"/>
  <c r="GP7"/>
  <c r="GQ7"/>
  <c r="GR7"/>
  <c r="GS7"/>
  <c r="GT7"/>
  <c r="GU7"/>
  <c r="GV7"/>
  <c r="GW7"/>
  <c r="GX7"/>
  <c r="GY7"/>
  <c r="GZ7"/>
  <c r="HA7"/>
  <c r="HB7"/>
  <c r="HC7"/>
  <c r="HD7"/>
  <c r="HE7"/>
  <c r="HF7"/>
  <c r="HG7"/>
  <c r="HH7"/>
  <c r="HI7"/>
  <c r="HJ7"/>
  <c r="HK7"/>
  <c r="HL7"/>
  <c r="HM7"/>
  <c r="HN7"/>
  <c r="HO7"/>
  <c r="HP7"/>
  <c r="HQ7"/>
  <c r="HR7"/>
  <c r="HS7"/>
  <c r="HT7"/>
  <c r="HU7"/>
  <c r="HV7"/>
  <c r="HW7"/>
  <c r="HX7"/>
  <c r="HY7"/>
  <c r="HZ7"/>
  <c r="IA7"/>
  <c r="IB7"/>
  <c r="IC7"/>
  <c r="ID7"/>
  <c r="IE7"/>
  <c r="IF7"/>
  <c r="IG7"/>
  <c r="IH7"/>
  <c r="II7"/>
  <c r="IJ7"/>
  <c r="IK7"/>
  <c r="IL7"/>
  <c r="IM7"/>
  <c r="IN7"/>
  <c r="IO7"/>
  <c r="IP7"/>
  <c r="IQ7"/>
  <c r="IR7"/>
  <c r="IS7"/>
  <c r="IT7"/>
  <c r="IU7"/>
  <c r="IV7"/>
  <c r="A6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F6"/>
  <c r="DG6"/>
  <c r="DH6"/>
  <c r="DI6"/>
  <c r="DJ6"/>
  <c r="DK6"/>
  <c r="DL6"/>
  <c r="DM6"/>
  <c r="DN6"/>
  <c r="DO6"/>
  <c r="DP6"/>
  <c r="DQ6"/>
  <c r="DR6"/>
  <c r="DS6"/>
  <c r="DT6"/>
  <c r="DU6"/>
  <c r="DV6"/>
  <c r="DW6"/>
  <c r="DX6"/>
  <c r="DY6"/>
  <c r="DZ6"/>
  <c r="EA6"/>
  <c r="EB6"/>
  <c r="EC6"/>
  <c r="ED6"/>
  <c r="EE6"/>
  <c r="EF6"/>
  <c r="EG6"/>
  <c r="EH6"/>
  <c r="EI6"/>
  <c r="EJ6"/>
  <c r="EK6"/>
  <c r="EL6"/>
  <c r="EM6"/>
  <c r="EN6"/>
  <c r="EO6"/>
  <c r="EP6"/>
  <c r="EQ6"/>
  <c r="ER6"/>
  <c r="ES6"/>
  <c r="ET6"/>
  <c r="EU6"/>
  <c r="EV6"/>
  <c r="EW6"/>
  <c r="EX6"/>
  <c r="EY6"/>
  <c r="EZ6"/>
  <c r="FA6"/>
  <c r="FB6"/>
  <c r="FC6"/>
  <c r="FD6"/>
  <c r="FE6"/>
  <c r="FF6"/>
  <c r="FG6"/>
  <c r="FH6"/>
  <c r="FI6"/>
  <c r="FJ6"/>
  <c r="FK6"/>
  <c r="FL6"/>
  <c r="FM6"/>
  <c r="FN6"/>
  <c r="FO6"/>
  <c r="FP6"/>
  <c r="FQ6"/>
  <c r="FR6"/>
  <c r="FS6"/>
  <c r="FT6"/>
  <c r="FU6"/>
  <c r="FV6"/>
  <c r="FW6"/>
  <c r="FX6"/>
  <c r="FY6"/>
  <c r="FZ6"/>
  <c r="GA6"/>
  <c r="GB6"/>
  <c r="GC6"/>
  <c r="GD6"/>
  <c r="GE6"/>
  <c r="GF6"/>
  <c r="GG6"/>
  <c r="GH6"/>
  <c r="GI6"/>
  <c r="GJ6"/>
  <c r="GK6"/>
  <c r="GL6"/>
  <c r="GM6"/>
  <c r="GN6"/>
  <c r="GO6"/>
  <c r="GP6"/>
  <c r="GQ6"/>
  <c r="GR6"/>
  <c r="GS6"/>
  <c r="GT6"/>
  <c r="GU6"/>
  <c r="GV6"/>
  <c r="GW6"/>
  <c r="GX6"/>
  <c r="GY6"/>
  <c r="GZ6"/>
  <c r="HA6"/>
  <c r="HB6"/>
  <c r="HC6"/>
  <c r="HD6"/>
  <c r="HE6"/>
  <c r="HF6"/>
  <c r="HG6"/>
  <c r="HH6"/>
  <c r="HI6"/>
  <c r="HJ6"/>
  <c r="HK6"/>
  <c r="HL6"/>
  <c r="HM6"/>
  <c r="HN6"/>
  <c r="HO6"/>
  <c r="HP6"/>
  <c r="HQ6"/>
  <c r="HR6"/>
  <c r="HS6"/>
  <c r="HT6"/>
  <c r="HU6"/>
  <c r="HV6"/>
  <c r="HW6"/>
  <c r="HX6"/>
  <c r="HY6"/>
  <c r="HZ6"/>
  <c r="IA6"/>
  <c r="IB6"/>
  <c r="IC6"/>
  <c r="ID6"/>
  <c r="IE6"/>
  <c r="IF6"/>
  <c r="IG6"/>
  <c r="IH6"/>
  <c r="II6"/>
  <c r="IJ6"/>
  <c r="IK6"/>
  <c r="IL6"/>
  <c r="IM6"/>
  <c r="IN6"/>
  <c r="IO6"/>
  <c r="IP6"/>
  <c r="IQ6"/>
  <c r="IR6"/>
  <c r="IS6"/>
  <c r="IT6"/>
  <c r="IU6"/>
  <c r="IV6"/>
  <c r="A5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Y5"/>
  <c r="CZ5"/>
  <c r="DA5"/>
  <c r="DB5"/>
  <c r="DC5"/>
  <c r="DD5"/>
  <c r="DE5"/>
  <c r="DF5"/>
  <c r="DG5"/>
  <c r="DH5"/>
  <c r="DI5"/>
  <c r="DJ5"/>
  <c r="DK5"/>
  <c r="DL5"/>
  <c r="DM5"/>
  <c r="DN5"/>
  <c r="DO5"/>
  <c r="DP5"/>
  <c r="DQ5"/>
  <c r="DR5"/>
  <c r="DS5"/>
  <c r="DT5"/>
  <c r="DU5"/>
  <c r="DV5"/>
  <c r="DW5"/>
  <c r="DX5"/>
  <c r="DY5"/>
  <c r="DZ5"/>
  <c r="EA5"/>
  <c r="EB5"/>
  <c r="EC5"/>
  <c r="ED5"/>
  <c r="EE5"/>
  <c r="EF5"/>
  <c r="EG5"/>
  <c r="EH5"/>
  <c r="EI5"/>
  <c r="EJ5"/>
  <c r="EK5"/>
  <c r="EL5"/>
  <c r="EM5"/>
  <c r="EN5"/>
  <c r="EO5"/>
  <c r="EP5"/>
  <c r="EQ5"/>
  <c r="ER5"/>
  <c r="ES5"/>
  <c r="ET5"/>
  <c r="EU5"/>
  <c r="EV5"/>
  <c r="EW5"/>
  <c r="EX5"/>
  <c r="EY5"/>
  <c r="EZ5"/>
  <c r="FA5"/>
  <c r="FB5"/>
  <c r="FC5"/>
  <c r="FD5"/>
  <c r="FE5"/>
  <c r="FF5"/>
  <c r="FG5"/>
  <c r="FH5"/>
  <c r="FI5"/>
  <c r="FJ5"/>
  <c r="FK5"/>
  <c r="FL5"/>
  <c r="FM5"/>
  <c r="FN5"/>
  <c r="FO5"/>
  <c r="FP5"/>
  <c r="FQ5"/>
  <c r="FR5"/>
  <c r="FS5"/>
  <c r="FT5"/>
  <c r="FU5"/>
  <c r="FV5"/>
  <c r="FW5"/>
  <c r="FX5"/>
  <c r="FY5"/>
  <c r="FZ5"/>
  <c r="GA5"/>
  <c r="GB5"/>
  <c r="GC5"/>
  <c r="GD5"/>
  <c r="GE5"/>
  <c r="GF5"/>
  <c r="GG5"/>
  <c r="GH5"/>
  <c r="GI5"/>
  <c r="GJ5"/>
  <c r="GK5"/>
  <c r="GL5"/>
  <c r="GM5"/>
  <c r="GN5"/>
  <c r="GO5"/>
  <c r="GP5"/>
  <c r="GQ5"/>
  <c r="GR5"/>
  <c r="GS5"/>
  <c r="GT5"/>
  <c r="GU5"/>
  <c r="GV5"/>
  <c r="GW5"/>
  <c r="GX5"/>
  <c r="GY5"/>
  <c r="GZ5"/>
  <c r="HA5"/>
  <c r="HB5"/>
  <c r="HC5"/>
  <c r="HD5"/>
  <c r="HE5"/>
  <c r="HF5"/>
  <c r="HG5"/>
  <c r="HH5"/>
  <c r="HI5"/>
  <c r="HJ5"/>
  <c r="HK5"/>
  <c r="HL5"/>
  <c r="HM5"/>
  <c r="HN5"/>
  <c r="HO5"/>
  <c r="HP5"/>
  <c r="HQ5"/>
  <c r="HR5"/>
  <c r="HS5"/>
  <c r="HT5"/>
  <c r="HU5"/>
  <c r="HV5"/>
  <c r="HW5"/>
  <c r="HX5"/>
  <c r="HY5"/>
  <c r="HZ5"/>
  <c r="IA5"/>
  <c r="IB5"/>
  <c r="IC5"/>
  <c r="ID5"/>
  <c r="IE5"/>
  <c r="IF5"/>
  <c r="IG5"/>
  <c r="IH5"/>
  <c r="II5"/>
  <c r="IJ5"/>
  <c r="IK5"/>
  <c r="IL5"/>
  <c r="IM5"/>
  <c r="IN5"/>
  <c r="IO5"/>
  <c r="IP5"/>
  <c r="IQ5"/>
  <c r="IR5"/>
  <c r="IS5"/>
  <c r="IT5"/>
  <c r="IU5"/>
  <c r="IV5"/>
  <c r="A4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BT4"/>
  <c r="BU4"/>
  <c r="BV4"/>
  <c r="BW4"/>
  <c r="BX4"/>
  <c r="BY4"/>
  <c r="BZ4"/>
  <c r="CA4"/>
  <c r="CB4"/>
  <c r="CC4"/>
  <c r="CD4"/>
  <c r="CE4"/>
  <c r="CF4"/>
  <c r="CG4"/>
  <c r="CH4"/>
  <c r="CI4"/>
  <c r="CJ4"/>
  <c r="CK4"/>
  <c r="CL4"/>
  <c r="CM4"/>
  <c r="CN4"/>
  <c r="CO4"/>
  <c r="CP4"/>
  <c r="CQ4"/>
  <c r="CR4"/>
  <c r="CS4"/>
  <c r="CT4"/>
  <c r="CU4"/>
  <c r="CV4"/>
  <c r="CW4"/>
  <c r="CX4"/>
  <c r="CY4"/>
  <c r="CZ4"/>
  <c r="DA4"/>
  <c r="DB4"/>
  <c r="DC4"/>
  <c r="DD4"/>
  <c r="DE4"/>
  <c r="DF4"/>
  <c r="DG4"/>
  <c r="DH4"/>
  <c r="DI4"/>
  <c r="DJ4"/>
  <c r="DK4"/>
  <c r="DL4"/>
  <c r="DM4"/>
  <c r="DN4"/>
  <c r="DO4"/>
  <c r="DP4"/>
  <c r="DQ4"/>
  <c r="DR4"/>
  <c r="DS4"/>
  <c r="DT4"/>
  <c r="DU4"/>
  <c r="DV4"/>
  <c r="DW4"/>
  <c r="DX4"/>
  <c r="DY4"/>
  <c r="DZ4"/>
  <c r="EA4"/>
  <c r="EB4"/>
  <c r="EC4"/>
  <c r="ED4"/>
  <c r="EE4"/>
  <c r="EF4"/>
  <c r="EG4"/>
  <c r="EH4"/>
  <c r="EI4"/>
  <c r="EJ4"/>
  <c r="EK4"/>
  <c r="EL4"/>
  <c r="EM4"/>
  <c r="EN4"/>
  <c r="EO4"/>
  <c r="EP4"/>
  <c r="EQ4"/>
  <c r="ER4"/>
  <c r="ES4"/>
  <c r="ET4"/>
  <c r="EU4"/>
  <c r="EV4"/>
  <c r="EW4"/>
  <c r="EX4"/>
  <c r="EY4"/>
  <c r="EZ4"/>
  <c r="FA4"/>
  <c r="FB4"/>
  <c r="FC4"/>
  <c r="FD4"/>
  <c r="FE4"/>
  <c r="FF4"/>
  <c r="FG4"/>
  <c r="FH4"/>
  <c r="FI4"/>
  <c r="FJ4"/>
  <c r="FK4"/>
  <c r="FL4"/>
  <c r="FM4"/>
  <c r="FN4"/>
  <c r="FO4"/>
  <c r="FP4"/>
  <c r="FQ4"/>
  <c r="FR4"/>
  <c r="FS4"/>
  <c r="FT4"/>
  <c r="FU4"/>
  <c r="FV4"/>
  <c r="FW4"/>
  <c r="FX4"/>
  <c r="FY4"/>
  <c r="FZ4"/>
  <c r="GA4"/>
  <c r="GB4"/>
  <c r="GC4"/>
  <c r="GD4"/>
  <c r="GE4"/>
  <c r="GF4"/>
  <c r="GG4"/>
  <c r="GH4"/>
  <c r="GI4"/>
  <c r="GJ4"/>
  <c r="GK4"/>
  <c r="GL4"/>
  <c r="GM4"/>
  <c r="GN4"/>
  <c r="GO4"/>
  <c r="GP4"/>
  <c r="GQ4"/>
  <c r="GR4"/>
  <c r="GS4"/>
  <c r="GT4"/>
  <c r="GU4"/>
  <c r="GV4"/>
  <c r="GW4"/>
  <c r="GX4"/>
  <c r="GY4"/>
  <c r="GZ4"/>
  <c r="HA4"/>
  <c r="HB4"/>
  <c r="HC4"/>
  <c r="HD4"/>
  <c r="HE4"/>
  <c r="HF4"/>
  <c r="HG4"/>
  <c r="HH4"/>
  <c r="HI4"/>
  <c r="HJ4"/>
  <c r="HK4"/>
  <c r="HL4"/>
  <c r="HM4"/>
  <c r="HN4"/>
  <c r="HO4"/>
  <c r="HP4"/>
  <c r="HQ4"/>
  <c r="HR4"/>
  <c r="HS4"/>
  <c r="HT4"/>
  <c r="HU4"/>
  <c r="HV4"/>
  <c r="HW4"/>
  <c r="HX4"/>
  <c r="HY4"/>
  <c r="HZ4"/>
  <c r="IA4"/>
  <c r="IB4"/>
  <c r="IC4"/>
  <c r="ID4"/>
  <c r="IE4"/>
  <c r="IF4"/>
  <c r="IG4"/>
  <c r="IH4"/>
  <c r="II4"/>
  <c r="IJ4"/>
  <c r="IK4"/>
  <c r="IL4"/>
  <c r="IM4"/>
  <c r="IN4"/>
  <c r="IO4"/>
  <c r="IP4"/>
  <c r="IQ4"/>
  <c r="IR4"/>
  <c r="IS4"/>
  <c r="IT4"/>
  <c r="IU4"/>
  <c r="IV4"/>
  <c r="A3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AL3"/>
  <c r="AM3"/>
  <c r="AN3"/>
  <c r="AO3"/>
  <c r="AP3"/>
  <c r="AQ3"/>
  <c r="AR3"/>
  <c r="AS3"/>
  <c r="AT3"/>
  <c r="AU3"/>
  <c r="AV3"/>
  <c r="AW3"/>
  <c r="AX3"/>
  <c r="AY3"/>
  <c r="AZ3"/>
  <c r="BA3"/>
  <c r="BB3"/>
  <c r="BC3"/>
  <c r="BD3"/>
  <c r="BE3"/>
  <c r="BF3"/>
  <c r="BG3"/>
  <c r="BH3"/>
  <c r="BI3"/>
  <c r="BJ3"/>
  <c r="BK3"/>
  <c r="BL3"/>
  <c r="BM3"/>
  <c r="BN3"/>
  <c r="BO3"/>
  <c r="BP3"/>
  <c r="BQ3"/>
  <c r="BR3"/>
  <c r="BS3"/>
  <c r="BT3"/>
  <c r="BU3"/>
  <c r="BV3"/>
  <c r="BW3"/>
  <c r="BX3"/>
  <c r="BY3"/>
  <c r="BZ3"/>
  <c r="CA3"/>
  <c r="CB3"/>
  <c r="CC3"/>
  <c r="CD3"/>
  <c r="CE3"/>
  <c r="CF3"/>
  <c r="CG3"/>
  <c r="CH3"/>
  <c r="CI3"/>
  <c r="CJ3"/>
  <c r="CK3"/>
  <c r="CL3"/>
  <c r="CM3"/>
  <c r="CN3"/>
  <c r="CO3"/>
  <c r="CP3"/>
  <c r="CQ3"/>
  <c r="CR3"/>
  <c r="CS3"/>
  <c r="CT3"/>
  <c r="CU3"/>
  <c r="CV3"/>
  <c r="CW3"/>
  <c r="CX3"/>
  <c r="CY3"/>
  <c r="CZ3"/>
  <c r="DA3"/>
  <c r="DB3"/>
  <c r="DC3"/>
  <c r="DD3"/>
  <c r="DE3"/>
  <c r="DF3"/>
  <c r="DG3"/>
  <c r="DH3"/>
  <c r="DI3"/>
  <c r="DJ3"/>
  <c r="DK3"/>
  <c r="DL3"/>
  <c r="DM3"/>
  <c r="DN3"/>
  <c r="DO3"/>
  <c r="DP3"/>
  <c r="DQ3"/>
  <c r="DR3"/>
  <c r="DS3"/>
  <c r="DT3"/>
  <c r="DU3"/>
  <c r="DV3"/>
  <c r="DW3"/>
  <c r="DX3"/>
  <c r="DY3"/>
  <c r="DZ3"/>
  <c r="EA3"/>
  <c r="EB3"/>
  <c r="EC3"/>
  <c r="ED3"/>
  <c r="EE3"/>
  <c r="EF3"/>
  <c r="EG3"/>
  <c r="EH3"/>
  <c r="EI3"/>
  <c r="EJ3"/>
  <c r="EK3"/>
  <c r="EL3"/>
  <c r="EM3"/>
  <c r="EN3"/>
  <c r="EO3"/>
  <c r="EP3"/>
  <c r="EQ3"/>
  <c r="ER3"/>
  <c r="ES3"/>
  <c r="ET3"/>
  <c r="EU3"/>
  <c r="EV3"/>
  <c r="EW3"/>
  <c r="EX3"/>
  <c r="EY3"/>
  <c r="EZ3"/>
  <c r="FA3"/>
  <c r="FB3"/>
  <c r="FC3"/>
  <c r="FD3"/>
  <c r="FE3"/>
  <c r="FF3"/>
  <c r="FG3"/>
  <c r="FH3"/>
  <c r="FI3"/>
  <c r="FJ3"/>
  <c r="FK3"/>
  <c r="FL3"/>
  <c r="FM3"/>
  <c r="FN3"/>
  <c r="FO3"/>
  <c r="FP3"/>
  <c r="FQ3"/>
  <c r="FR3"/>
  <c r="FS3"/>
  <c r="FT3"/>
  <c r="FU3"/>
  <c r="FV3"/>
  <c r="FW3"/>
  <c r="FX3"/>
  <c r="FY3"/>
  <c r="FZ3"/>
  <c r="GA3"/>
  <c r="GB3"/>
  <c r="GC3"/>
  <c r="GD3"/>
  <c r="GE3"/>
  <c r="GF3"/>
  <c r="GG3"/>
  <c r="GH3"/>
  <c r="GI3"/>
  <c r="GJ3"/>
  <c r="GK3"/>
  <c r="GL3"/>
  <c r="GM3"/>
  <c r="GN3"/>
  <c r="GO3"/>
  <c r="GP3"/>
  <c r="GQ3"/>
  <c r="GR3"/>
  <c r="GS3"/>
  <c r="GT3"/>
  <c r="GU3"/>
  <c r="GV3"/>
  <c r="GW3"/>
  <c r="GX3"/>
  <c r="GY3"/>
  <c r="GZ3"/>
  <c r="HA3"/>
  <c r="HB3"/>
  <c r="HC3"/>
  <c r="HD3"/>
  <c r="HE3"/>
  <c r="HF3"/>
  <c r="HG3"/>
  <c r="HH3"/>
  <c r="HI3"/>
  <c r="HJ3"/>
  <c r="HK3"/>
  <c r="HL3"/>
  <c r="HM3"/>
  <c r="HN3"/>
  <c r="HO3"/>
  <c r="HP3"/>
  <c r="HQ3"/>
  <c r="HR3"/>
  <c r="HS3"/>
  <c r="HT3"/>
  <c r="HU3"/>
  <c r="HV3"/>
  <c r="HW3"/>
  <c r="HX3"/>
  <c r="HY3"/>
  <c r="HZ3"/>
  <c r="IA3"/>
  <c r="IB3"/>
  <c r="IC3"/>
  <c r="ID3"/>
  <c r="IE3"/>
  <c r="IF3"/>
  <c r="IG3"/>
  <c r="IH3"/>
  <c r="II3"/>
  <c r="IJ3"/>
  <c r="IK3"/>
  <c r="IL3"/>
  <c r="IM3"/>
  <c r="IN3"/>
  <c r="IO3"/>
  <c r="IP3"/>
  <c r="IQ3"/>
  <c r="IR3"/>
  <c r="IS3"/>
  <c r="IT3"/>
  <c r="IU3"/>
  <c r="IV3"/>
  <c r="A2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AJ2"/>
  <c r="AK2"/>
  <c r="AL2"/>
  <c r="AM2"/>
  <c r="AN2"/>
  <c r="AO2"/>
  <c r="AP2"/>
  <c r="AQ2"/>
  <c r="AR2"/>
  <c r="AS2"/>
  <c r="AT2"/>
  <c r="AU2"/>
  <c r="AV2"/>
  <c r="AW2"/>
  <c r="AX2"/>
  <c r="AY2"/>
  <c r="AZ2"/>
  <c r="BA2"/>
  <c r="BB2"/>
  <c r="BC2"/>
  <c r="BD2"/>
  <c r="BE2"/>
  <c r="BF2"/>
  <c r="BG2"/>
  <c r="BH2"/>
  <c r="BI2"/>
  <c r="BJ2"/>
  <c r="BK2"/>
  <c r="BL2"/>
  <c r="BM2"/>
  <c r="BN2"/>
  <c r="BO2"/>
  <c r="BP2"/>
  <c r="BQ2"/>
  <c r="BR2"/>
  <c r="BS2"/>
  <c r="BT2"/>
  <c r="BU2"/>
  <c r="BV2"/>
  <c r="BW2"/>
  <c r="BX2"/>
  <c r="BY2"/>
  <c r="BZ2"/>
  <c r="CA2"/>
  <c r="CB2"/>
  <c r="CC2"/>
  <c r="CD2"/>
  <c r="CE2"/>
  <c r="CF2"/>
  <c r="CG2"/>
  <c r="CH2"/>
  <c r="CI2"/>
  <c r="CJ2"/>
  <c r="CK2"/>
  <c r="CL2"/>
  <c r="CM2"/>
  <c r="CN2"/>
  <c r="CO2"/>
  <c r="CP2"/>
  <c r="CQ2"/>
  <c r="CR2"/>
  <c r="CS2"/>
  <c r="CT2"/>
  <c r="CU2"/>
  <c r="CV2"/>
  <c r="CW2"/>
  <c r="CX2"/>
  <c r="CY2"/>
  <c r="CZ2"/>
  <c r="DA2"/>
  <c r="DB2"/>
  <c r="DC2"/>
  <c r="DD2"/>
  <c r="DE2"/>
  <c r="DF2"/>
  <c r="DG2"/>
  <c r="DH2"/>
  <c r="DI2"/>
  <c r="DJ2"/>
  <c r="DK2"/>
  <c r="DL2"/>
  <c r="DM2"/>
  <c r="DN2"/>
  <c r="DO2"/>
  <c r="DP2"/>
  <c r="DQ2"/>
  <c r="DR2"/>
  <c r="DS2"/>
  <c r="DT2"/>
  <c r="DU2"/>
  <c r="DV2"/>
  <c r="DW2"/>
  <c r="DX2"/>
  <c r="DY2"/>
  <c r="DZ2"/>
  <c r="EA2"/>
  <c r="EB2"/>
  <c r="EC2"/>
  <c r="ED2"/>
  <c r="EE2"/>
  <c r="EF2"/>
  <c r="EG2"/>
  <c r="EH2"/>
  <c r="EI2"/>
  <c r="EJ2"/>
  <c r="EK2"/>
  <c r="EL2"/>
  <c r="EM2"/>
  <c r="EN2"/>
  <c r="EO2"/>
  <c r="EP2"/>
  <c r="EQ2"/>
  <c r="ER2"/>
  <c r="ES2"/>
  <c r="ET2"/>
  <c r="EU2"/>
  <c r="EV2"/>
  <c r="EW2"/>
  <c r="EX2"/>
  <c r="EY2"/>
  <c r="EZ2"/>
  <c r="FA2"/>
  <c r="FB2"/>
  <c r="FC2"/>
  <c r="FD2"/>
  <c r="FE2"/>
  <c r="FF2"/>
  <c r="FG2"/>
  <c r="FH2"/>
  <c r="FI2"/>
  <c r="FJ2"/>
  <c r="FK2"/>
  <c r="FL2"/>
  <c r="FM2"/>
  <c r="FN2"/>
  <c r="FO2"/>
  <c r="FP2"/>
  <c r="FQ2"/>
  <c r="FR2"/>
  <c r="FS2"/>
  <c r="FT2"/>
  <c r="FU2"/>
  <c r="FV2"/>
  <c r="FW2"/>
  <c r="FX2"/>
  <c r="FY2"/>
  <c r="FZ2"/>
  <c r="GA2"/>
  <c r="GB2"/>
  <c r="GC2"/>
  <c r="GD2"/>
  <c r="GE2"/>
  <c r="GF2"/>
  <c r="GG2"/>
  <c r="GH2"/>
  <c r="GI2"/>
  <c r="GJ2"/>
  <c r="GK2"/>
  <c r="GL2"/>
  <c r="GM2"/>
  <c r="GN2"/>
  <c r="GO2"/>
  <c r="GP2"/>
  <c r="GQ2"/>
  <c r="GR2"/>
  <c r="GS2"/>
  <c r="GT2"/>
  <c r="GU2"/>
  <c r="GV2"/>
  <c r="GW2"/>
  <c r="GX2"/>
  <c r="GY2"/>
  <c r="GZ2"/>
  <c r="HA2"/>
  <c r="HB2"/>
  <c r="HC2"/>
  <c r="HD2"/>
  <c r="HE2"/>
  <c r="HF2"/>
  <c r="HG2"/>
  <c r="HH2"/>
  <c r="HI2"/>
  <c r="HJ2"/>
  <c r="HK2"/>
  <c r="HL2"/>
  <c r="HM2"/>
  <c r="HN2"/>
  <c r="HO2"/>
  <c r="HP2"/>
  <c r="HQ2"/>
  <c r="HR2"/>
  <c r="HS2"/>
  <c r="HT2"/>
  <c r="HU2"/>
  <c r="HV2"/>
  <c r="HW2"/>
  <c r="HX2"/>
  <c r="HY2"/>
  <c r="HZ2"/>
  <c r="IA2"/>
  <c r="IB2"/>
  <c r="IC2"/>
  <c r="ID2"/>
  <c r="IE2"/>
  <c r="IF2"/>
  <c r="IG2"/>
  <c r="IH2"/>
  <c r="II2"/>
  <c r="IJ2"/>
  <c r="IK2"/>
  <c r="IL2"/>
  <c r="IM2"/>
  <c r="IN2"/>
  <c r="IO2"/>
  <c r="IP2"/>
  <c r="IQ2"/>
  <c r="IR2"/>
  <c r="IS2"/>
  <c r="IT2"/>
  <c r="IU2"/>
  <c r="IV2"/>
  <c r="A1"/>
  <c r="B1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AJ1"/>
  <c r="AK1"/>
  <c r="AL1"/>
  <c r="AM1"/>
  <c r="AN1"/>
  <c r="AO1"/>
  <c r="AP1"/>
  <c r="AQ1"/>
  <c r="AR1"/>
  <c r="AS1"/>
  <c r="AT1"/>
  <c r="AU1"/>
  <c r="AV1"/>
  <c r="AW1"/>
  <c r="AX1"/>
  <c r="AY1"/>
  <c r="AZ1"/>
  <c r="BA1"/>
  <c r="BB1"/>
  <c r="BC1"/>
  <c r="BD1"/>
  <c r="BE1"/>
  <c r="BF1"/>
  <c r="BG1"/>
  <c r="BH1"/>
  <c r="BI1"/>
  <c r="BJ1"/>
  <c r="BK1"/>
  <c r="BL1"/>
  <c r="BM1"/>
  <c r="BN1"/>
  <c r="BO1"/>
  <c r="BP1"/>
  <c r="BQ1"/>
  <c r="BR1"/>
  <c r="BS1"/>
  <c r="BT1"/>
  <c r="BU1"/>
  <c r="BV1"/>
  <c r="BW1"/>
  <c r="BX1"/>
  <c r="BY1"/>
  <c r="BZ1"/>
  <c r="CA1"/>
  <c r="CB1"/>
  <c r="CC1"/>
  <c r="CD1"/>
  <c r="CE1"/>
  <c r="CF1"/>
  <c r="CG1"/>
  <c r="CH1"/>
  <c r="CI1"/>
  <c r="CJ1"/>
  <c r="CK1"/>
  <c r="CL1"/>
  <c r="CM1"/>
  <c r="CN1"/>
  <c r="CO1"/>
  <c r="CP1"/>
  <c r="CQ1"/>
  <c r="CR1"/>
  <c r="CS1"/>
  <c r="CT1"/>
  <c r="CU1"/>
  <c r="CV1"/>
  <c r="CW1"/>
  <c r="CX1"/>
  <c r="CY1"/>
  <c r="CZ1"/>
  <c r="DA1"/>
  <c r="DB1"/>
  <c r="DC1"/>
  <c r="DD1"/>
  <c r="DE1"/>
  <c r="DF1"/>
  <c r="DG1"/>
  <c r="DH1"/>
  <c r="DI1"/>
  <c r="DJ1"/>
  <c r="DK1"/>
  <c r="DL1"/>
  <c r="DM1"/>
  <c r="DN1"/>
  <c r="DO1"/>
  <c r="DP1"/>
  <c r="DQ1"/>
  <c r="DR1"/>
  <c r="DS1"/>
  <c r="DT1"/>
  <c r="DU1"/>
  <c r="DV1"/>
  <c r="DW1"/>
  <c r="DX1"/>
  <c r="DY1"/>
  <c r="DZ1"/>
  <c r="EA1"/>
  <c r="EB1"/>
  <c r="EC1"/>
  <c r="ED1"/>
  <c r="EE1"/>
  <c r="EF1"/>
  <c r="EG1"/>
  <c r="EH1"/>
  <c r="EI1"/>
  <c r="EJ1"/>
  <c r="EK1"/>
  <c r="EL1"/>
  <c r="EM1"/>
  <c r="EN1"/>
  <c r="EO1"/>
  <c r="EP1"/>
  <c r="EQ1"/>
  <c r="ER1"/>
  <c r="ES1"/>
  <c r="ET1"/>
  <c r="EU1"/>
  <c r="EV1"/>
  <c r="EW1"/>
  <c r="EX1"/>
  <c r="EY1"/>
  <c r="EZ1"/>
  <c r="FA1"/>
  <c r="FB1"/>
  <c r="FC1"/>
  <c r="FD1"/>
  <c r="FE1"/>
  <c r="FF1"/>
  <c r="FG1"/>
  <c r="FH1"/>
  <c r="FI1"/>
  <c r="FJ1"/>
  <c r="FK1"/>
  <c r="FL1"/>
  <c r="FM1"/>
  <c r="FN1"/>
  <c r="FO1"/>
  <c r="FP1"/>
  <c r="FQ1"/>
  <c r="FR1"/>
  <c r="FS1"/>
  <c r="FT1"/>
  <c r="FU1"/>
  <c r="FV1"/>
  <c r="FW1"/>
  <c r="FX1"/>
  <c r="FY1"/>
  <c r="FZ1"/>
  <c r="GA1"/>
  <c r="GB1"/>
  <c r="GC1"/>
  <c r="GD1"/>
  <c r="GE1"/>
  <c r="GF1"/>
  <c r="GG1"/>
  <c r="GH1"/>
  <c r="GI1"/>
  <c r="GJ1"/>
  <c r="GK1"/>
  <c r="GL1"/>
  <c r="GM1"/>
  <c r="GN1"/>
  <c r="GO1"/>
  <c r="GP1"/>
  <c r="GQ1"/>
  <c r="GR1"/>
  <c r="GS1"/>
  <c r="GT1"/>
  <c r="GU1"/>
  <c r="GV1"/>
  <c r="GW1"/>
  <c r="GX1"/>
  <c r="GY1"/>
  <c r="GZ1"/>
  <c r="HA1"/>
  <c r="HB1"/>
  <c r="HC1"/>
  <c r="HD1"/>
  <c r="HE1"/>
  <c r="HF1"/>
  <c r="HG1"/>
  <c r="HH1"/>
  <c r="HI1"/>
  <c r="HJ1"/>
  <c r="HK1"/>
  <c r="HL1"/>
  <c r="HM1"/>
  <c r="HN1"/>
  <c r="HO1"/>
  <c r="HP1"/>
  <c r="HQ1"/>
  <c r="HR1"/>
  <c r="HS1"/>
  <c r="HT1"/>
  <c r="HU1"/>
  <c r="HV1"/>
  <c r="HW1"/>
  <c r="HX1"/>
  <c r="HY1"/>
  <c r="HZ1"/>
  <c r="IA1"/>
  <c r="IB1"/>
  <c r="IC1"/>
  <c r="ID1"/>
  <c r="IE1"/>
  <c r="IF1"/>
  <c r="IG1"/>
  <c r="IH1"/>
  <c r="II1"/>
  <c r="IJ1"/>
  <c r="IK1"/>
  <c r="IL1"/>
  <c r="IM1"/>
  <c r="IN1"/>
  <c r="IO1"/>
  <c r="IP1"/>
  <c r="IQ1"/>
  <c r="IR1"/>
  <c r="IS1"/>
  <c r="IT1"/>
  <c r="IU1"/>
  <c r="IV1"/>
</calcChain>
</file>

<file path=xl/sharedStrings.xml><?xml version="1.0" encoding="utf-8"?>
<sst xmlns="http://schemas.openxmlformats.org/spreadsheetml/2006/main" count="211" uniqueCount="32">
  <si>
    <t>BLOQUE</t>
  </si>
  <si>
    <t>TEMA</t>
  </si>
  <si>
    <t>AMBITO</t>
  </si>
  <si>
    <t>APRENDIZAJE ESPERADO</t>
  </si>
  <si>
    <t>PROPOSITO</t>
  </si>
  <si>
    <t>SECUENCIA DIDACTICA</t>
  </si>
  <si>
    <t>_______________________________________________________________________________________________________________________________________________</t>
  </si>
  <si>
    <t>TRANSVERSALIDAD</t>
  </si>
  <si>
    <t>ARTICULACION</t>
  </si>
  <si>
    <t>EVALUACION</t>
  </si>
  <si>
    <t>COMPETENCIA</t>
  </si>
  <si>
    <t>EJE</t>
  </si>
  <si>
    <t>CONTENIDO</t>
  </si>
  <si>
    <r>
      <t>PLANEACION DE LA ASIGNATURA DE</t>
    </r>
    <r>
      <rPr>
        <b/>
        <sz val="12"/>
        <rFont val="Comic Sans MS"/>
        <family val="4"/>
      </rPr>
      <t xml:space="preserve"> ESPAÑOL</t>
    </r>
    <r>
      <rPr>
        <b/>
        <sz val="10"/>
        <rFont val="Comic Sans MS"/>
        <family val="4"/>
      </rPr>
      <t xml:space="preserve">               TIEMPO</t>
    </r>
  </si>
  <si>
    <r>
      <t>PLANEACION DE LA ASIGNATURA DE</t>
    </r>
    <r>
      <rPr>
        <b/>
        <sz val="12"/>
        <rFont val="Comic Sans MS"/>
        <family val="4"/>
      </rPr>
      <t xml:space="preserve"> MATEMATICAS </t>
    </r>
    <r>
      <rPr>
        <b/>
        <sz val="10"/>
        <rFont val="Comic Sans MS"/>
        <family val="4"/>
      </rPr>
      <t xml:space="preserve">                   TIEMPO</t>
    </r>
  </si>
  <si>
    <r>
      <t xml:space="preserve">PLANEACION DE LA ASIGNATURA DE </t>
    </r>
    <r>
      <rPr>
        <b/>
        <sz val="12"/>
        <rFont val="Comic Sans MS"/>
        <family val="4"/>
      </rPr>
      <t xml:space="preserve">HISTORIA  </t>
    </r>
    <r>
      <rPr>
        <b/>
        <sz val="10"/>
        <rFont val="Comic Sans MS"/>
        <family val="4"/>
      </rPr>
      <t xml:space="preserve">                  TIEMPO</t>
    </r>
  </si>
  <si>
    <r>
      <t xml:space="preserve">PLANEACION DE LA ASIGNATURA DE   </t>
    </r>
    <r>
      <rPr>
        <b/>
        <sz val="12"/>
        <rFont val="Comic Sans MS"/>
        <family val="4"/>
      </rPr>
      <t xml:space="preserve">GEOGRAFIA  </t>
    </r>
    <r>
      <rPr>
        <b/>
        <sz val="10"/>
        <rFont val="Comic Sans MS"/>
        <family val="4"/>
      </rPr>
      <t xml:space="preserve">                  TIEMPO</t>
    </r>
  </si>
  <si>
    <r>
      <t xml:space="preserve">PLANEACION DE LA ASIGNATURA DE  </t>
    </r>
    <r>
      <rPr>
        <b/>
        <sz val="12"/>
        <rFont val="Comic Sans MS"/>
        <family val="4"/>
      </rPr>
      <t>CIVICA Y ETICA</t>
    </r>
    <r>
      <rPr>
        <b/>
        <sz val="10"/>
        <rFont val="Comic Sans MS"/>
        <family val="4"/>
      </rPr>
      <t xml:space="preserve">                    TIEMPO</t>
    </r>
  </si>
  <si>
    <t>AMBITOS</t>
  </si>
  <si>
    <t>EJE TEMATICO</t>
  </si>
  <si>
    <t>AAAAAH2t+0A=</t>
  </si>
  <si>
    <t>ESCUELA SECUNDARIA 3 MIXTA</t>
  </si>
  <si>
    <r>
      <t xml:space="preserve">PLANEACION DE LA ASIGNATURA DE   </t>
    </r>
    <r>
      <rPr>
        <b/>
        <sz val="12"/>
        <rFont val="Comic Sans MS"/>
        <family val="4"/>
      </rPr>
      <t>CIENCIAS</t>
    </r>
    <r>
      <rPr>
        <b/>
        <sz val="10"/>
        <rFont val="Comic Sans MS"/>
        <family val="4"/>
      </rPr>
      <t xml:space="preserve">                    TIEMPO</t>
    </r>
  </si>
  <si>
    <t xml:space="preserve">ESTANDARES </t>
  </si>
  <si>
    <t>APRENDIZAJES ESPERADOS</t>
  </si>
  <si>
    <t>COMPETENCIAS</t>
  </si>
  <si>
    <t xml:space="preserve">ESTANDARES CURRICULARES </t>
  </si>
  <si>
    <t xml:space="preserve">ESTANDARES CURRICULARES: </t>
  </si>
  <si>
    <t>APRENDIZAJE ESPERADO:</t>
  </si>
  <si>
    <t>EJES</t>
  </si>
  <si>
    <r>
      <t xml:space="preserve">PLANEACION DE LA ASIGNATURA DE   </t>
    </r>
    <r>
      <rPr>
        <b/>
        <sz val="12"/>
        <rFont val="Comic Sans MS"/>
        <family val="4"/>
      </rPr>
      <t xml:space="preserve">EDUCACION FISICA </t>
    </r>
    <r>
      <rPr>
        <b/>
        <sz val="10"/>
        <rFont val="Comic Sans MS"/>
        <family val="4"/>
      </rPr>
      <t xml:space="preserve">                  TIEMPO</t>
    </r>
  </si>
  <si>
    <r>
      <t xml:space="preserve">PLANEACION DE LA ASIGNATURA DE  </t>
    </r>
    <r>
      <rPr>
        <b/>
        <sz val="12"/>
        <rFont val="Comic Sans MS"/>
        <family val="4"/>
      </rPr>
      <t>ARTES</t>
    </r>
    <r>
      <rPr>
        <b/>
        <sz val="10"/>
        <rFont val="Comic Sans MS"/>
        <family val="4"/>
      </rPr>
      <t xml:space="preserve">                TIEMPO</t>
    </r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</si>
</sst>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Comic Sans MS"/>
      <family val="4"/>
    </font>
    <font>
      <b/>
      <sz val="10"/>
      <name val="Comic Sans MS"/>
      <family val="4"/>
    </font>
    <font>
      <sz val="8"/>
      <name val="Arial"/>
    </font>
    <font>
      <b/>
      <sz val="12"/>
      <name val="Comic Sans MS"/>
      <family val="4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5" fillId="0" borderId="19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12" xfId="0" applyFont="1" applyBorder="1" applyAlignme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L43"/>
  <sheetViews>
    <sheetView zoomScale="75" zoomScaleNormal="100" workbookViewId="0">
      <selection activeCell="K27" sqref="K27:L27"/>
    </sheetView>
  </sheetViews>
  <sheetFormatPr baseColWidth="10" defaultRowHeight="12.75"/>
  <cols>
    <col min="6" max="6" width="7.5703125" customWidth="1"/>
    <col min="10" max="10" width="7.85546875" customWidth="1"/>
    <col min="11" max="11" width="11.85546875" customWidth="1"/>
  </cols>
  <sheetData>
    <row r="1" spans="1:12" ht="22.5" customHeight="1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13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7.25" thickBot="1">
      <c r="A3" s="7" t="s">
        <v>0</v>
      </c>
      <c r="B3" s="7"/>
      <c r="C3" s="7"/>
      <c r="D3" s="7" t="s">
        <v>1</v>
      </c>
      <c r="E3" s="7"/>
      <c r="F3" s="7"/>
      <c r="G3" s="7"/>
      <c r="H3" s="7"/>
      <c r="I3" s="7"/>
      <c r="J3" s="7"/>
      <c r="K3" s="7"/>
      <c r="L3" s="7"/>
    </row>
    <row r="4" spans="1:12" ht="15" customHeight="1" thickBot="1">
      <c r="A4" s="10" t="s">
        <v>2</v>
      </c>
      <c r="B4" s="10"/>
      <c r="C4" s="10"/>
      <c r="D4" s="10" t="s">
        <v>3</v>
      </c>
      <c r="E4" s="10"/>
      <c r="F4" s="10"/>
      <c r="G4" s="10"/>
      <c r="H4" s="10"/>
      <c r="I4" s="10"/>
      <c r="J4" s="10"/>
      <c r="K4" s="10"/>
      <c r="L4" s="10"/>
    </row>
    <row r="5" spans="1:12" ht="15" customHeight="1" thickBo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5" customHeight="1" thickBot="1">
      <c r="A6" s="10"/>
      <c r="B6" s="10"/>
      <c r="C6" s="10"/>
      <c r="D6" s="10"/>
      <c r="E6" s="30"/>
      <c r="F6" s="30"/>
      <c r="G6" s="30"/>
      <c r="H6" s="30"/>
      <c r="I6" s="30"/>
      <c r="J6" s="30"/>
      <c r="K6" s="30"/>
      <c r="L6" s="30"/>
    </row>
    <row r="7" spans="1:12" ht="15" customHeight="1">
      <c r="A7" s="12" t="s">
        <v>4</v>
      </c>
      <c r="B7" s="13"/>
      <c r="C7" s="13"/>
      <c r="D7" s="31"/>
      <c r="E7" s="34" t="s">
        <v>27</v>
      </c>
      <c r="F7" s="35"/>
      <c r="G7" s="35"/>
      <c r="H7" s="35"/>
      <c r="I7" s="35"/>
      <c r="J7" s="35"/>
      <c r="K7" s="35"/>
      <c r="L7" s="36"/>
    </row>
    <row r="8" spans="1:12" ht="15" customHeight="1">
      <c r="A8" s="15"/>
      <c r="B8" s="16"/>
      <c r="C8" s="16"/>
      <c r="D8" s="32"/>
      <c r="E8" s="37"/>
      <c r="F8" s="16"/>
      <c r="G8" s="16"/>
      <c r="H8" s="16"/>
      <c r="I8" s="16"/>
      <c r="J8" s="16"/>
      <c r="K8" s="16"/>
      <c r="L8" s="32"/>
    </row>
    <row r="9" spans="1:12" ht="15" customHeight="1" thickBot="1">
      <c r="A9" s="18"/>
      <c r="B9" s="19"/>
      <c r="C9" s="19"/>
      <c r="D9" s="33"/>
      <c r="E9" s="38"/>
      <c r="F9" s="39"/>
      <c r="G9" s="39"/>
      <c r="H9" s="39"/>
      <c r="I9" s="39"/>
      <c r="J9" s="39"/>
      <c r="K9" s="39"/>
      <c r="L9" s="40"/>
    </row>
    <row r="10" spans="1:12" ht="17.25" thickBot="1">
      <c r="A10" s="3" t="s">
        <v>5</v>
      </c>
      <c r="B10" s="3"/>
      <c r="C10" s="3"/>
      <c r="D10" s="3"/>
      <c r="E10" s="11"/>
      <c r="F10" s="11"/>
      <c r="G10" s="11"/>
      <c r="H10" s="11"/>
      <c r="I10" s="11"/>
      <c r="J10" s="11"/>
      <c r="K10" s="11"/>
      <c r="L10" s="11"/>
    </row>
    <row r="11" spans="1:12" ht="16.5">
      <c r="A11" s="8" t="s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6.5">
      <c r="A24" s="9" t="s">
        <v>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7.25" thickBot="1">
      <c r="A25" s="11" t="s">
        <v>6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 ht="17.25" thickBot="1">
      <c r="A26" s="3" t="s">
        <v>7</v>
      </c>
      <c r="B26" s="3"/>
      <c r="C26" s="66" t="s">
        <v>10</v>
      </c>
      <c r="D26" s="67"/>
      <c r="E26" s="67"/>
      <c r="F26" s="67"/>
      <c r="G26" s="67"/>
      <c r="H26" s="67"/>
      <c r="I26" s="67"/>
      <c r="J26" s="68"/>
      <c r="K26" s="3" t="s">
        <v>9</v>
      </c>
      <c r="L26" s="3"/>
    </row>
    <row r="27" spans="1:12" ht="16.5">
      <c r="A27" s="8"/>
      <c r="B27" s="8"/>
      <c r="C27" s="63"/>
      <c r="D27" s="64"/>
      <c r="E27" s="64"/>
      <c r="F27" s="64"/>
      <c r="G27" s="64"/>
      <c r="H27" s="64"/>
      <c r="I27" s="64"/>
      <c r="J27" s="65"/>
      <c r="K27" s="8"/>
      <c r="L27" s="8"/>
    </row>
    <row r="28" spans="1:12" ht="16.5">
      <c r="A28" s="9"/>
      <c r="B28" s="9"/>
      <c r="C28" s="54"/>
      <c r="D28" s="55"/>
      <c r="E28" s="55"/>
      <c r="F28" s="55"/>
      <c r="G28" s="55"/>
      <c r="H28" s="55"/>
      <c r="I28" s="55"/>
      <c r="J28" s="56"/>
      <c r="K28" s="9"/>
      <c r="L28" s="9"/>
    </row>
    <row r="29" spans="1:12" ht="16.5">
      <c r="A29" s="9"/>
      <c r="B29" s="9"/>
      <c r="C29" s="54"/>
      <c r="D29" s="55"/>
      <c r="E29" s="55"/>
      <c r="F29" s="55"/>
      <c r="G29" s="55"/>
      <c r="H29" s="55"/>
      <c r="I29" s="55"/>
      <c r="J29" s="56"/>
      <c r="K29" s="9"/>
      <c r="L29" s="9"/>
    </row>
    <row r="30" spans="1:12" ht="16.5">
      <c r="A30" s="9"/>
      <c r="B30" s="9"/>
      <c r="C30" s="54"/>
      <c r="D30" s="55"/>
      <c r="E30" s="55"/>
      <c r="F30" s="55"/>
      <c r="G30" s="55"/>
      <c r="H30" s="55"/>
      <c r="I30" s="55"/>
      <c r="J30" s="56"/>
      <c r="K30" s="9"/>
      <c r="L30" s="9"/>
    </row>
    <row r="31" spans="1:12" ht="16.5">
      <c r="A31" s="9"/>
      <c r="B31" s="9"/>
      <c r="C31" s="54"/>
      <c r="D31" s="55"/>
      <c r="E31" s="55"/>
      <c r="F31" s="55"/>
      <c r="G31" s="55"/>
      <c r="H31" s="55"/>
      <c r="I31" s="55"/>
      <c r="J31" s="56"/>
      <c r="K31" s="9"/>
      <c r="L31" s="9"/>
    </row>
    <row r="32" spans="1:12" ht="9.75" customHeight="1">
      <c r="A32" s="9"/>
      <c r="B32" s="9"/>
      <c r="C32" s="54"/>
      <c r="D32" s="55"/>
      <c r="E32" s="55"/>
      <c r="F32" s="55"/>
      <c r="G32" s="55"/>
      <c r="H32" s="55"/>
      <c r="I32" s="55"/>
      <c r="J32" s="56"/>
      <c r="K32" s="9"/>
      <c r="L32" s="9"/>
    </row>
    <row r="33" spans="1:12" ht="5.25" customHeight="1" thickBot="1">
      <c r="A33" s="11"/>
      <c r="B33" s="11"/>
      <c r="C33" s="57"/>
      <c r="D33" s="58"/>
      <c r="E33" s="58"/>
      <c r="F33" s="59"/>
      <c r="G33" s="57"/>
      <c r="H33" s="58"/>
      <c r="I33" s="58"/>
      <c r="J33" s="59"/>
      <c r="K33" s="11"/>
      <c r="L33" s="1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</sheetData>
  <mergeCells count="44">
    <mergeCell ref="A33:B33"/>
    <mergeCell ref="A29:B29"/>
    <mergeCell ref="K27:L27"/>
    <mergeCell ref="K28:L28"/>
    <mergeCell ref="K30:L30"/>
    <mergeCell ref="K31:L31"/>
    <mergeCell ref="K29:L29"/>
    <mergeCell ref="A27:B27"/>
    <mergeCell ref="A28:B28"/>
    <mergeCell ref="A30:B30"/>
    <mergeCell ref="A31:B31"/>
    <mergeCell ref="A32:B32"/>
    <mergeCell ref="K32:L32"/>
    <mergeCell ref="C33:F33"/>
    <mergeCell ref="G33:J33"/>
    <mergeCell ref="K33:L33"/>
    <mergeCell ref="C27:J32"/>
    <mergeCell ref="A26:B26"/>
    <mergeCell ref="K26:L26"/>
    <mergeCell ref="A23:L23"/>
    <mergeCell ref="A24:L24"/>
    <mergeCell ref="A25:L25"/>
    <mergeCell ref="C26:J26"/>
    <mergeCell ref="A19:L19"/>
    <mergeCell ref="A20:L20"/>
    <mergeCell ref="A21:L21"/>
    <mergeCell ref="A22:L22"/>
    <mergeCell ref="A15:L15"/>
    <mergeCell ref="A16:L16"/>
    <mergeCell ref="A17:L17"/>
    <mergeCell ref="A18:L18"/>
    <mergeCell ref="A13:L13"/>
    <mergeCell ref="A14:L14"/>
    <mergeCell ref="A4:C6"/>
    <mergeCell ref="D4:L6"/>
    <mergeCell ref="A10:L10"/>
    <mergeCell ref="A12:L12"/>
    <mergeCell ref="E7:L9"/>
    <mergeCell ref="A7:D9"/>
    <mergeCell ref="A1:L1"/>
    <mergeCell ref="A2:L2"/>
    <mergeCell ref="A3:C3"/>
    <mergeCell ref="D3:L3"/>
    <mergeCell ref="A11:L11"/>
  </mergeCells>
  <phoneticPr fontId="3" type="noConversion"/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"/>
  <dimension ref="A1"/>
  <sheetViews>
    <sheetView workbookViewId="0"/>
  </sheetViews>
  <sheetFormatPr baseColWidth="10" defaultRowHeight="12.75"/>
  <sheetData/>
  <pageMargins left="0.7" right="0.7" top="0.75" bottom="0.75" header="0.3" footer="0.3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L35"/>
  <sheetViews>
    <sheetView topLeftCell="A4" zoomScale="75" zoomScaleNormal="75" workbookViewId="0">
      <selection activeCell="K27" sqref="K27:L27"/>
    </sheetView>
  </sheetViews>
  <sheetFormatPr baseColWidth="10" defaultRowHeight="12.75"/>
  <cols>
    <col min="6" max="6" width="7.5703125" customWidth="1"/>
    <col min="9" max="9" width="7.5703125" customWidth="1"/>
  </cols>
  <sheetData>
    <row r="1" spans="1:12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14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7.25" thickBot="1">
      <c r="A3" s="7" t="s">
        <v>0</v>
      </c>
      <c r="B3" s="7"/>
      <c r="C3" s="7"/>
      <c r="D3" s="7" t="s">
        <v>1</v>
      </c>
      <c r="E3" s="7"/>
      <c r="F3" s="7"/>
      <c r="G3" s="7"/>
      <c r="H3" s="7"/>
      <c r="I3" s="7"/>
      <c r="J3" s="7"/>
      <c r="K3" s="7"/>
      <c r="L3" s="7"/>
    </row>
    <row r="4" spans="1:12" ht="13.5" thickBot="1">
      <c r="A4" s="10" t="s">
        <v>11</v>
      </c>
      <c r="B4" s="10"/>
      <c r="C4" s="10"/>
      <c r="D4" s="10" t="s">
        <v>26</v>
      </c>
      <c r="E4" s="10"/>
      <c r="F4" s="10"/>
      <c r="G4" s="10"/>
      <c r="H4" s="10"/>
      <c r="I4" s="10"/>
      <c r="J4" s="10"/>
      <c r="K4" s="10"/>
      <c r="L4" s="10"/>
    </row>
    <row r="5" spans="1:12" ht="13.5" thickBo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3.5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13.5" thickBot="1">
      <c r="A7" s="10" t="s">
        <v>24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3.5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3.5" thickBo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ht="17.25" thickBot="1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6.5">
      <c r="A11" s="8" t="s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6.5">
      <c r="A24" s="9" t="s">
        <v>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6.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7.25" thickBot="1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9"/>
      <c r="L26" s="9"/>
    </row>
    <row r="27" spans="1:12" ht="17.25" thickBot="1">
      <c r="A27" s="3" t="s">
        <v>7</v>
      </c>
      <c r="B27" s="3"/>
      <c r="C27" s="66" t="s">
        <v>10</v>
      </c>
      <c r="D27" s="67"/>
      <c r="E27" s="67"/>
      <c r="F27" s="67"/>
      <c r="G27" s="67"/>
      <c r="H27" s="67"/>
      <c r="I27" s="67"/>
      <c r="J27" s="69"/>
      <c r="K27" s="70" t="s">
        <v>9</v>
      </c>
      <c r="L27" s="71"/>
    </row>
    <row r="28" spans="1:12" ht="16.5">
      <c r="A28" s="8"/>
      <c r="B28" s="8"/>
      <c r="C28" s="21"/>
      <c r="D28" s="22"/>
      <c r="E28" s="22"/>
      <c r="F28" s="22"/>
      <c r="G28" s="22"/>
      <c r="H28" s="22"/>
      <c r="I28" s="22"/>
      <c r="J28" s="23"/>
      <c r="K28" s="9"/>
      <c r="L28" s="9"/>
    </row>
    <row r="29" spans="1:12" ht="16.5">
      <c r="A29" s="9"/>
      <c r="B29" s="9"/>
      <c r="C29" s="24"/>
      <c r="D29" s="25"/>
      <c r="E29" s="25"/>
      <c r="F29" s="25"/>
      <c r="G29" s="25"/>
      <c r="H29" s="25"/>
      <c r="I29" s="25"/>
      <c r="J29" s="26"/>
      <c r="K29" s="9"/>
      <c r="L29" s="9"/>
    </row>
    <row r="30" spans="1:12" ht="16.5">
      <c r="A30" s="9"/>
      <c r="B30" s="9"/>
      <c r="C30" s="24"/>
      <c r="D30" s="25"/>
      <c r="E30" s="25"/>
      <c r="F30" s="25"/>
      <c r="G30" s="25"/>
      <c r="H30" s="25"/>
      <c r="I30" s="25"/>
      <c r="J30" s="26"/>
      <c r="K30" s="9"/>
      <c r="L30" s="9"/>
    </row>
    <row r="31" spans="1:12" ht="16.5">
      <c r="A31" s="9"/>
      <c r="B31" s="9"/>
      <c r="C31" s="24"/>
      <c r="D31" s="25"/>
      <c r="E31" s="25"/>
      <c r="F31" s="25"/>
      <c r="G31" s="25"/>
      <c r="H31" s="25"/>
      <c r="I31" s="25"/>
      <c r="J31" s="26"/>
      <c r="K31" s="9"/>
      <c r="L31" s="9"/>
    </row>
    <row r="32" spans="1:12" ht="16.5">
      <c r="A32" s="9"/>
      <c r="B32" s="9"/>
      <c r="C32" s="24"/>
      <c r="D32" s="25"/>
      <c r="E32" s="25"/>
      <c r="F32" s="25"/>
      <c r="G32" s="25"/>
      <c r="H32" s="25"/>
      <c r="I32" s="25"/>
      <c r="J32" s="26"/>
      <c r="K32" s="9"/>
      <c r="L32" s="9"/>
    </row>
    <row r="33" spans="1:12" ht="17.25" thickBot="1">
      <c r="A33" s="11"/>
      <c r="B33" s="11"/>
      <c r="C33" s="27"/>
      <c r="D33" s="28"/>
      <c r="E33" s="28"/>
      <c r="F33" s="28"/>
      <c r="G33" s="28"/>
      <c r="H33" s="28"/>
      <c r="I33" s="28"/>
      <c r="J33" s="29"/>
      <c r="K33" s="11"/>
      <c r="L33" s="1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40">
    <mergeCell ref="A33:B33"/>
    <mergeCell ref="K33:L33"/>
    <mergeCell ref="A32:B32"/>
    <mergeCell ref="K32:L32"/>
    <mergeCell ref="C28:J33"/>
    <mergeCell ref="A31:B31"/>
    <mergeCell ref="K31:L31"/>
    <mergeCell ref="A30:B30"/>
    <mergeCell ref="K30:L30"/>
    <mergeCell ref="A29:B29"/>
    <mergeCell ref="K29:L29"/>
    <mergeCell ref="A28:B28"/>
    <mergeCell ref="K28:L28"/>
    <mergeCell ref="A24:L24"/>
    <mergeCell ref="A25:L25"/>
    <mergeCell ref="A26:L26"/>
    <mergeCell ref="A27:B27"/>
    <mergeCell ref="K27:L27"/>
    <mergeCell ref="C27:J27"/>
    <mergeCell ref="A20:L20"/>
    <mergeCell ref="A21:L21"/>
    <mergeCell ref="A22:L22"/>
    <mergeCell ref="A23:L23"/>
    <mergeCell ref="A15:L15"/>
    <mergeCell ref="A17:L17"/>
    <mergeCell ref="A18:L18"/>
    <mergeCell ref="A19:L19"/>
    <mergeCell ref="A16:L16"/>
    <mergeCell ref="A13:L13"/>
    <mergeCell ref="A14:L14"/>
    <mergeCell ref="A4:C6"/>
    <mergeCell ref="D4:L6"/>
    <mergeCell ref="A7:L9"/>
    <mergeCell ref="A10:L10"/>
    <mergeCell ref="A12:L12"/>
    <mergeCell ref="A1:L1"/>
    <mergeCell ref="A2:L2"/>
    <mergeCell ref="A3:C3"/>
    <mergeCell ref="D3:L3"/>
    <mergeCell ref="A11:L11"/>
  </mergeCells>
  <phoneticPr fontId="3" type="noConversion"/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A1:L35"/>
  <sheetViews>
    <sheetView zoomScale="75" workbookViewId="0">
      <selection activeCell="A21" sqref="A21:L21"/>
    </sheetView>
  </sheetViews>
  <sheetFormatPr baseColWidth="10" defaultRowHeight="12.75"/>
  <cols>
    <col min="5" max="5" width="8.5703125" customWidth="1"/>
    <col min="9" max="9" width="6.42578125" customWidth="1"/>
  </cols>
  <sheetData>
    <row r="1" spans="1:12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15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7.25" thickBot="1">
      <c r="A3" s="7" t="s">
        <v>0</v>
      </c>
      <c r="B3" s="7"/>
      <c r="C3" s="7"/>
      <c r="D3" s="7" t="s">
        <v>1</v>
      </c>
      <c r="E3" s="7"/>
      <c r="F3" s="7"/>
      <c r="G3" s="7"/>
      <c r="H3" s="7"/>
      <c r="I3" s="7"/>
      <c r="J3" s="7"/>
      <c r="K3" s="7"/>
      <c r="L3" s="7"/>
    </row>
    <row r="4" spans="1:12" ht="13.5" thickBot="1">
      <c r="A4" s="10" t="s">
        <v>12</v>
      </c>
      <c r="B4" s="10"/>
      <c r="C4" s="10"/>
      <c r="D4" s="10" t="s">
        <v>3</v>
      </c>
      <c r="E4" s="10"/>
      <c r="F4" s="10"/>
      <c r="G4" s="10"/>
      <c r="H4" s="10"/>
      <c r="I4" s="10"/>
      <c r="J4" s="10"/>
      <c r="K4" s="10"/>
      <c r="L4" s="10"/>
    </row>
    <row r="5" spans="1:12" ht="13.5" thickBo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3.5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13.5" thickBot="1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3.5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3.5" thickBo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ht="17.25" thickBot="1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6.5">
      <c r="A11" s="8" t="s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6.5">
      <c r="A24" s="9" t="s">
        <v>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6.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6.5">
      <c r="A26" s="9" t="s">
        <v>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17.25" thickBot="1">
      <c r="A27" s="11" t="s">
        <v>6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17.25" thickBot="1">
      <c r="A28" s="3" t="s">
        <v>7</v>
      </c>
      <c r="B28" s="3"/>
      <c r="C28" s="66" t="s">
        <v>10</v>
      </c>
      <c r="D28" s="67"/>
      <c r="E28" s="67"/>
      <c r="F28" s="67"/>
      <c r="G28" s="67"/>
      <c r="H28" s="67"/>
      <c r="I28" s="67"/>
      <c r="J28" s="68"/>
      <c r="K28" s="3" t="s">
        <v>9</v>
      </c>
      <c r="L28" s="3"/>
    </row>
    <row r="29" spans="1:12" ht="16.5">
      <c r="A29" s="8"/>
      <c r="B29" s="8"/>
      <c r="C29" s="60"/>
      <c r="D29" s="61"/>
      <c r="E29" s="61"/>
      <c r="F29" s="61"/>
      <c r="G29" s="61"/>
      <c r="H29" s="61"/>
      <c r="I29" s="61"/>
      <c r="J29" s="62"/>
      <c r="K29" s="8"/>
      <c r="L29" s="8"/>
    </row>
    <row r="30" spans="1:12" ht="16.5">
      <c r="A30" s="9"/>
      <c r="B30" s="9"/>
      <c r="C30" s="51"/>
      <c r="D30" s="52"/>
      <c r="E30" s="52"/>
      <c r="F30" s="52"/>
      <c r="G30" s="52"/>
      <c r="H30" s="52"/>
      <c r="I30" s="52"/>
      <c r="J30" s="53"/>
      <c r="K30" s="9"/>
      <c r="L30" s="9"/>
    </row>
    <row r="31" spans="1:12" ht="16.5">
      <c r="A31" s="9"/>
      <c r="B31" s="9"/>
      <c r="C31" s="51"/>
      <c r="D31" s="52"/>
      <c r="E31" s="52"/>
      <c r="F31" s="52"/>
      <c r="G31" s="52"/>
      <c r="H31" s="52"/>
      <c r="I31" s="52"/>
      <c r="J31" s="53"/>
      <c r="K31" s="9"/>
      <c r="L31" s="9"/>
    </row>
    <row r="32" spans="1:12" ht="16.5">
      <c r="A32" s="9"/>
      <c r="B32" s="9"/>
      <c r="C32" s="51"/>
      <c r="D32" s="52"/>
      <c r="E32" s="52"/>
      <c r="F32" s="52"/>
      <c r="G32" s="52"/>
      <c r="H32" s="52"/>
      <c r="I32" s="52"/>
      <c r="J32" s="53"/>
      <c r="K32" s="9"/>
      <c r="L32" s="9"/>
    </row>
    <row r="33" spans="1:12" ht="17.25" thickBot="1">
      <c r="A33" s="11"/>
      <c r="B33" s="11"/>
      <c r="C33" s="57"/>
      <c r="D33" s="58"/>
      <c r="E33" s="58"/>
      <c r="F33" s="58"/>
      <c r="G33" s="58"/>
      <c r="H33" s="58"/>
      <c r="I33" s="58"/>
      <c r="J33" s="59"/>
      <c r="K33" s="11"/>
      <c r="L33" s="1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39">
    <mergeCell ref="A15:L15"/>
    <mergeCell ref="A22:L22"/>
    <mergeCell ref="A33:B33"/>
    <mergeCell ref="K33:L33"/>
    <mergeCell ref="A32:B32"/>
    <mergeCell ref="K32:L32"/>
    <mergeCell ref="A31:B31"/>
    <mergeCell ref="K31:L31"/>
    <mergeCell ref="A30:B30"/>
    <mergeCell ref="K30:L30"/>
    <mergeCell ref="A29:B29"/>
    <mergeCell ref="K29:L29"/>
    <mergeCell ref="C29:J33"/>
    <mergeCell ref="A25:L25"/>
    <mergeCell ref="A26:L26"/>
    <mergeCell ref="A27:L27"/>
    <mergeCell ref="A28:B28"/>
    <mergeCell ref="K28:L28"/>
    <mergeCell ref="C28:J28"/>
    <mergeCell ref="A20:L20"/>
    <mergeCell ref="A21:L21"/>
    <mergeCell ref="A23:L23"/>
    <mergeCell ref="A24:L24"/>
    <mergeCell ref="A16:L16"/>
    <mergeCell ref="A17:L17"/>
    <mergeCell ref="A18:L18"/>
    <mergeCell ref="A19:L19"/>
    <mergeCell ref="A13:L13"/>
    <mergeCell ref="A14:L14"/>
    <mergeCell ref="A4:C6"/>
    <mergeCell ref="D4:L6"/>
    <mergeCell ref="A7:L9"/>
    <mergeCell ref="A10:L10"/>
    <mergeCell ref="A12:L12"/>
    <mergeCell ref="A1:L1"/>
    <mergeCell ref="A2:L2"/>
    <mergeCell ref="A3:C3"/>
    <mergeCell ref="D3:L3"/>
    <mergeCell ref="A11:L11"/>
  </mergeCells>
  <phoneticPr fontId="3" type="noConversion"/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4"/>
  <dimension ref="A1:L35"/>
  <sheetViews>
    <sheetView zoomScale="75" workbookViewId="0">
      <selection activeCell="C28" sqref="C28:J33"/>
    </sheetView>
  </sheetViews>
  <sheetFormatPr baseColWidth="10" defaultRowHeight="12.75"/>
  <cols>
    <col min="6" max="6" width="8.42578125" customWidth="1"/>
    <col min="9" max="9" width="6.7109375" customWidth="1"/>
  </cols>
  <sheetData>
    <row r="1" spans="1:12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16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7.25" thickBot="1">
      <c r="A3" s="7" t="s">
        <v>0</v>
      </c>
      <c r="B3" s="7"/>
      <c r="C3" s="7"/>
      <c r="D3" s="4" t="s">
        <v>1</v>
      </c>
      <c r="E3" s="5"/>
      <c r="F3" s="5"/>
      <c r="G3" s="5"/>
      <c r="H3" s="5"/>
      <c r="I3" s="5"/>
      <c r="J3" s="5"/>
      <c r="K3" s="5"/>
      <c r="L3" s="6"/>
    </row>
    <row r="4" spans="1:12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4"/>
    </row>
    <row r="5" spans="1:12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7"/>
    </row>
    <row r="6" spans="1:12" ht="13.5" thickBo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20"/>
    </row>
    <row r="7" spans="1:12" ht="13.5" thickBot="1">
      <c r="A7" s="10" t="s">
        <v>19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3.5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3.5" thickBo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ht="17.25" thickBot="1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6.5">
      <c r="A11" s="8" t="s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6.5">
      <c r="A24" s="9" t="s">
        <v>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6.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7.25" thickBot="1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7.25" thickBot="1">
      <c r="A27" s="3" t="s">
        <v>7</v>
      </c>
      <c r="B27" s="3"/>
      <c r="C27" s="66" t="s">
        <v>9</v>
      </c>
      <c r="D27" s="67"/>
      <c r="E27" s="67"/>
      <c r="F27" s="67"/>
      <c r="G27" s="67"/>
      <c r="H27" s="67"/>
      <c r="I27" s="67"/>
      <c r="J27" s="68"/>
      <c r="K27" s="3" t="s">
        <v>10</v>
      </c>
      <c r="L27" s="3"/>
    </row>
    <row r="28" spans="1:12" ht="16.5">
      <c r="A28" s="8"/>
      <c r="B28" s="8"/>
      <c r="C28" s="60"/>
      <c r="D28" s="61"/>
      <c r="E28" s="61"/>
      <c r="F28" s="61"/>
      <c r="G28" s="61"/>
      <c r="H28" s="61"/>
      <c r="I28" s="61"/>
      <c r="J28" s="62"/>
      <c r="K28" s="8"/>
      <c r="L28" s="8"/>
    </row>
    <row r="29" spans="1:12" ht="16.5">
      <c r="A29" s="9"/>
      <c r="B29" s="9"/>
      <c r="C29" s="51"/>
      <c r="D29" s="52"/>
      <c r="E29" s="52"/>
      <c r="F29" s="52"/>
      <c r="G29" s="52"/>
      <c r="H29" s="52"/>
      <c r="I29" s="52"/>
      <c r="J29" s="53"/>
      <c r="K29" s="9"/>
      <c r="L29" s="9"/>
    </row>
    <row r="30" spans="1:12" ht="16.5">
      <c r="A30" s="9"/>
      <c r="B30" s="9"/>
      <c r="C30" s="51"/>
      <c r="D30" s="52"/>
      <c r="E30" s="52"/>
      <c r="F30" s="52"/>
      <c r="G30" s="52"/>
      <c r="H30" s="52"/>
      <c r="I30" s="52"/>
      <c r="J30" s="53"/>
      <c r="K30" s="9"/>
      <c r="L30" s="9"/>
    </row>
    <row r="31" spans="1:12" ht="16.5">
      <c r="A31" s="9"/>
      <c r="B31" s="9"/>
      <c r="C31" s="51"/>
      <c r="D31" s="52"/>
      <c r="E31" s="52"/>
      <c r="F31" s="52"/>
      <c r="G31" s="52"/>
      <c r="H31" s="52"/>
      <c r="I31" s="52"/>
      <c r="J31" s="53"/>
      <c r="K31" s="9"/>
      <c r="L31" s="9"/>
    </row>
    <row r="32" spans="1:12" ht="16.5">
      <c r="A32" s="9"/>
      <c r="B32" s="9"/>
      <c r="C32" s="51"/>
      <c r="D32" s="52"/>
      <c r="E32" s="52"/>
      <c r="F32" s="52"/>
      <c r="G32" s="52"/>
      <c r="H32" s="52"/>
      <c r="I32" s="52"/>
      <c r="J32" s="53"/>
      <c r="K32" s="9"/>
      <c r="L32" s="9"/>
    </row>
    <row r="33" spans="1:12" ht="17.25" thickBot="1">
      <c r="A33" s="11"/>
      <c r="B33" s="11"/>
      <c r="C33" s="57"/>
      <c r="D33" s="58"/>
      <c r="E33" s="58"/>
      <c r="F33" s="58"/>
      <c r="G33" s="58"/>
      <c r="H33" s="58"/>
      <c r="I33" s="58"/>
      <c r="J33" s="59"/>
      <c r="K33" s="11"/>
      <c r="L33" s="1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44">
    <mergeCell ref="A33:B33"/>
    <mergeCell ref="K33:L33"/>
    <mergeCell ref="A32:B32"/>
    <mergeCell ref="K32:L32"/>
    <mergeCell ref="C32:J32"/>
    <mergeCell ref="C33:J33"/>
    <mergeCell ref="A31:B31"/>
    <mergeCell ref="K31:L31"/>
    <mergeCell ref="A30:B30"/>
    <mergeCell ref="K30:L30"/>
    <mergeCell ref="C30:J30"/>
    <mergeCell ref="C31:J31"/>
    <mergeCell ref="A29:B29"/>
    <mergeCell ref="K29:L29"/>
    <mergeCell ref="A28:B28"/>
    <mergeCell ref="K28:L28"/>
    <mergeCell ref="C28:J28"/>
    <mergeCell ref="C29:J29"/>
    <mergeCell ref="A25:L25"/>
    <mergeCell ref="A26:L26"/>
    <mergeCell ref="A27:B27"/>
    <mergeCell ref="K27:L27"/>
    <mergeCell ref="C27:J27"/>
    <mergeCell ref="A21:L21"/>
    <mergeCell ref="A22:L22"/>
    <mergeCell ref="A23:L23"/>
    <mergeCell ref="A24:L24"/>
    <mergeCell ref="A16:L16"/>
    <mergeCell ref="A17:L17"/>
    <mergeCell ref="A18:L18"/>
    <mergeCell ref="A20:L20"/>
    <mergeCell ref="A19:L19"/>
    <mergeCell ref="A14:L14"/>
    <mergeCell ref="A15:L15"/>
    <mergeCell ref="A4:L6"/>
    <mergeCell ref="A7:L9"/>
    <mergeCell ref="A10:L10"/>
    <mergeCell ref="A11:L11"/>
    <mergeCell ref="A13:L13"/>
    <mergeCell ref="A1:L1"/>
    <mergeCell ref="A2:L2"/>
    <mergeCell ref="A3:C3"/>
    <mergeCell ref="D3:L3"/>
    <mergeCell ref="A12:L12"/>
  </mergeCells>
  <phoneticPr fontId="3" type="noConversion"/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5"/>
  <dimension ref="A1:L33"/>
  <sheetViews>
    <sheetView zoomScale="75" workbookViewId="0">
      <selection activeCell="K26" sqref="K26:L26"/>
    </sheetView>
  </sheetViews>
  <sheetFormatPr baseColWidth="10" defaultRowHeight="12.75"/>
  <cols>
    <col min="6" max="6" width="9.140625" customWidth="1"/>
    <col min="10" max="10" width="7.42578125" customWidth="1"/>
  </cols>
  <sheetData>
    <row r="1" spans="1:12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17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6.5">
      <c r="A3" s="41" t="s">
        <v>0</v>
      </c>
      <c r="B3" s="41"/>
      <c r="C3" s="41"/>
      <c r="D3" s="41" t="s">
        <v>1</v>
      </c>
      <c r="E3" s="41"/>
      <c r="F3" s="41"/>
      <c r="G3" s="41"/>
      <c r="H3" s="41"/>
      <c r="I3" s="41"/>
      <c r="J3" s="41"/>
      <c r="K3" s="41"/>
      <c r="L3" s="41"/>
    </row>
    <row r="4" spans="1:12" ht="12.75" customHeight="1">
      <c r="A4" s="34" t="s">
        <v>24</v>
      </c>
      <c r="B4" s="35"/>
      <c r="C4" s="35"/>
      <c r="D4" s="35"/>
      <c r="E4" s="35"/>
      <c r="F4" s="35"/>
      <c r="G4" s="36"/>
      <c r="H4" s="42" t="s">
        <v>29</v>
      </c>
      <c r="I4" s="43"/>
      <c r="J4" s="43"/>
      <c r="K4" s="43"/>
      <c r="L4" s="44"/>
    </row>
    <row r="5" spans="1:12" ht="12.75" customHeight="1">
      <c r="A5" s="37"/>
      <c r="B5" s="16"/>
      <c r="C5" s="16"/>
      <c r="D5" s="16"/>
      <c r="E5" s="16"/>
      <c r="F5" s="16"/>
      <c r="G5" s="32"/>
      <c r="H5" s="45"/>
      <c r="I5" s="46"/>
      <c r="J5" s="46"/>
      <c r="K5" s="46"/>
      <c r="L5" s="47"/>
    </row>
    <row r="6" spans="1:12" ht="13.5" customHeight="1">
      <c r="A6" s="38"/>
      <c r="B6" s="39"/>
      <c r="C6" s="39"/>
      <c r="D6" s="39"/>
      <c r="E6" s="39"/>
      <c r="F6" s="39"/>
      <c r="G6" s="40"/>
      <c r="H6" s="48"/>
      <c r="I6" s="49"/>
      <c r="J6" s="49"/>
      <c r="K6" s="49"/>
      <c r="L6" s="50"/>
    </row>
    <row r="7" spans="1:12" ht="17.25" thickBot="1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2" ht="16.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6.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ht="16.5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ht="16.5">
      <c r="A11" s="9" t="s">
        <v>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7.25" thickBot="1">
      <c r="A24" s="11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7.25" thickBot="1">
      <c r="A25" s="3" t="s">
        <v>8</v>
      </c>
      <c r="B25" s="3"/>
      <c r="C25" s="3" t="s">
        <v>23</v>
      </c>
      <c r="D25" s="3"/>
      <c r="E25" s="3"/>
      <c r="F25" s="3"/>
      <c r="G25" s="3" t="s">
        <v>25</v>
      </c>
      <c r="H25" s="3"/>
      <c r="I25" s="3"/>
      <c r="J25" s="3"/>
      <c r="K25" s="3" t="s">
        <v>9</v>
      </c>
      <c r="L25" s="3"/>
    </row>
    <row r="26" spans="1:12" ht="16.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ht="16.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16.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16.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16.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17.25" thickBo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2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mergeCells count="52">
    <mergeCell ref="A31:B31"/>
    <mergeCell ref="C31:F31"/>
    <mergeCell ref="G31:J31"/>
    <mergeCell ref="K31:L31"/>
    <mergeCell ref="A30:B30"/>
    <mergeCell ref="C30:F30"/>
    <mergeCell ref="G30:J30"/>
    <mergeCell ref="K30:L30"/>
    <mergeCell ref="A29:B29"/>
    <mergeCell ref="C29:F29"/>
    <mergeCell ref="G29:J29"/>
    <mergeCell ref="K29:L29"/>
    <mergeCell ref="A28:B28"/>
    <mergeCell ref="C28:F28"/>
    <mergeCell ref="G28:J28"/>
    <mergeCell ref="K28:L28"/>
    <mergeCell ref="A27:B27"/>
    <mergeCell ref="C27:F27"/>
    <mergeCell ref="G27:J27"/>
    <mergeCell ref="K27:L27"/>
    <mergeCell ref="A26:B26"/>
    <mergeCell ref="C26:F26"/>
    <mergeCell ref="G26:J26"/>
    <mergeCell ref="K26:L26"/>
    <mergeCell ref="A22:L22"/>
    <mergeCell ref="A23:L23"/>
    <mergeCell ref="A24:L24"/>
    <mergeCell ref="A25:B25"/>
    <mergeCell ref="C25:F25"/>
    <mergeCell ref="G25:J25"/>
    <mergeCell ref="K25:L25"/>
    <mergeCell ref="A16:L16"/>
    <mergeCell ref="A20:L20"/>
    <mergeCell ref="A21:L21"/>
    <mergeCell ref="A17:L17"/>
    <mergeCell ref="A18:L18"/>
    <mergeCell ref="A19:L19"/>
    <mergeCell ref="A12:L12"/>
    <mergeCell ref="A13:L13"/>
    <mergeCell ref="A14:L14"/>
    <mergeCell ref="A15:L15"/>
    <mergeCell ref="A8:L8"/>
    <mergeCell ref="A9:L9"/>
    <mergeCell ref="A10:L10"/>
    <mergeCell ref="A11:L11"/>
    <mergeCell ref="A7:L7"/>
    <mergeCell ref="A1:L1"/>
    <mergeCell ref="A2:L2"/>
    <mergeCell ref="A3:C3"/>
    <mergeCell ref="D3:L3"/>
    <mergeCell ref="H4:L6"/>
    <mergeCell ref="A4:G6"/>
  </mergeCells>
  <phoneticPr fontId="3" type="noConversion"/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6"/>
  <dimension ref="A1:N35"/>
  <sheetViews>
    <sheetView zoomScale="75" workbookViewId="0">
      <selection activeCell="A28" sqref="A28:B28"/>
    </sheetView>
  </sheetViews>
  <sheetFormatPr baseColWidth="10" defaultRowHeight="12.75"/>
  <cols>
    <col min="5" max="5" width="7" customWidth="1"/>
    <col min="9" max="9" width="7.28515625" customWidth="1"/>
  </cols>
  <sheetData>
    <row r="1" spans="1:14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4" ht="20.25" thickBot="1">
      <c r="A2" s="4" t="s">
        <v>22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4" ht="17.25" thickBot="1">
      <c r="A3" s="7" t="s">
        <v>0</v>
      </c>
      <c r="B3" s="7"/>
      <c r="C3" s="7"/>
      <c r="D3" s="7" t="s">
        <v>1</v>
      </c>
      <c r="E3" s="7"/>
      <c r="F3" s="7"/>
      <c r="G3" s="41"/>
      <c r="H3" s="41"/>
      <c r="I3" s="41"/>
      <c r="J3" s="41"/>
      <c r="K3" s="41"/>
      <c r="L3" s="41"/>
    </row>
    <row r="4" spans="1:14" ht="12.75" customHeight="1">
      <c r="A4" s="12" t="s">
        <v>28</v>
      </c>
      <c r="B4" s="13"/>
      <c r="C4" s="13"/>
      <c r="D4" s="13"/>
      <c r="E4" s="13"/>
      <c r="F4" s="31"/>
      <c r="G4" s="34" t="s">
        <v>27</v>
      </c>
      <c r="H4" s="35"/>
      <c r="I4" s="35"/>
      <c r="J4" s="35"/>
      <c r="K4" s="35"/>
      <c r="L4" s="36"/>
    </row>
    <row r="5" spans="1:14" ht="12.75" customHeight="1">
      <c r="A5" s="15"/>
      <c r="B5" s="16"/>
      <c r="C5" s="16"/>
      <c r="D5" s="16"/>
      <c r="E5" s="16"/>
      <c r="F5" s="32"/>
      <c r="G5" s="37"/>
      <c r="H5" s="16"/>
      <c r="I5" s="16"/>
      <c r="J5" s="16"/>
      <c r="K5" s="16"/>
      <c r="L5" s="32"/>
    </row>
    <row r="6" spans="1:14" ht="13.5" customHeight="1" thickBot="1">
      <c r="A6" s="18"/>
      <c r="B6" s="19"/>
      <c r="C6" s="19"/>
      <c r="D6" s="19"/>
      <c r="E6" s="19"/>
      <c r="F6" s="33"/>
      <c r="G6" s="38"/>
      <c r="H6" s="39"/>
      <c r="I6" s="39"/>
      <c r="J6" s="39"/>
      <c r="K6" s="39"/>
      <c r="L6" s="40"/>
    </row>
    <row r="7" spans="1:14">
      <c r="A7" s="15" t="s">
        <v>18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7"/>
    </row>
    <row r="8" spans="1:14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7"/>
      <c r="N8" s="2"/>
    </row>
    <row r="9" spans="1:14" ht="13.5" thickBot="1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20"/>
    </row>
    <row r="10" spans="1:14" ht="17.25" thickBot="1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N10" s="2"/>
    </row>
    <row r="11" spans="1:14" ht="16.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4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4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4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4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4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6.5">
      <c r="A24" s="9" t="s">
        <v>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16.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7.25" thickBot="1">
      <c r="A26" s="11" t="s">
        <v>6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1:12" ht="17.25" thickBot="1">
      <c r="A27" s="3" t="s">
        <v>7</v>
      </c>
      <c r="B27" s="3"/>
      <c r="C27" s="66" t="s">
        <v>10</v>
      </c>
      <c r="D27" s="67"/>
      <c r="E27" s="67"/>
      <c r="F27" s="67"/>
      <c r="G27" s="67"/>
      <c r="H27" s="67"/>
      <c r="I27" s="67"/>
      <c r="J27" s="68"/>
      <c r="K27" s="3" t="s">
        <v>9</v>
      </c>
      <c r="L27" s="3"/>
    </row>
    <row r="28" spans="1:12" ht="16.5">
      <c r="A28" s="8"/>
      <c r="B28" s="8"/>
      <c r="C28" s="60"/>
      <c r="D28" s="61"/>
      <c r="E28" s="61"/>
      <c r="F28" s="61"/>
      <c r="G28" s="61"/>
      <c r="H28" s="61"/>
      <c r="I28" s="61"/>
      <c r="J28" s="62"/>
      <c r="K28" s="8"/>
      <c r="L28" s="8"/>
    </row>
    <row r="29" spans="1:12" ht="16.5">
      <c r="A29" s="9"/>
      <c r="B29" s="9"/>
      <c r="C29" s="51"/>
      <c r="D29" s="52"/>
      <c r="E29" s="52"/>
      <c r="F29" s="52"/>
      <c r="G29" s="52"/>
      <c r="H29" s="52"/>
      <c r="I29" s="52"/>
      <c r="J29" s="53"/>
      <c r="K29" s="9"/>
      <c r="L29" s="9"/>
    </row>
    <row r="30" spans="1:12" ht="16.5">
      <c r="A30" s="9"/>
      <c r="B30" s="9"/>
      <c r="C30" s="51"/>
      <c r="D30" s="52"/>
      <c r="E30" s="52"/>
      <c r="F30" s="52"/>
      <c r="G30" s="52"/>
      <c r="H30" s="52"/>
      <c r="I30" s="52"/>
      <c r="J30" s="53"/>
      <c r="K30" s="9"/>
      <c r="L30" s="9"/>
    </row>
    <row r="31" spans="1:12" ht="16.5">
      <c r="A31" s="9"/>
      <c r="B31" s="9"/>
      <c r="C31" s="51"/>
      <c r="D31" s="52"/>
      <c r="E31" s="52"/>
      <c r="F31" s="52"/>
      <c r="G31" s="52"/>
      <c r="H31" s="52"/>
      <c r="I31" s="52"/>
      <c r="J31" s="53"/>
      <c r="K31" s="9"/>
      <c r="L31" s="9"/>
    </row>
    <row r="32" spans="1:12" ht="16.5">
      <c r="A32" s="9"/>
      <c r="B32" s="9"/>
      <c r="C32" s="51"/>
      <c r="D32" s="52"/>
      <c r="E32" s="52"/>
      <c r="F32" s="52"/>
      <c r="G32" s="52"/>
      <c r="H32" s="52"/>
      <c r="I32" s="52"/>
      <c r="J32" s="53"/>
      <c r="K32" s="9"/>
      <c r="L32" s="9"/>
    </row>
    <row r="33" spans="1:12" ht="17.25" thickBot="1">
      <c r="A33" s="11"/>
      <c r="B33" s="11"/>
      <c r="C33" s="57"/>
      <c r="D33" s="58"/>
      <c r="E33" s="58"/>
      <c r="F33" s="58"/>
      <c r="G33" s="58"/>
      <c r="H33" s="58"/>
      <c r="I33" s="58"/>
      <c r="J33" s="59"/>
      <c r="K33" s="11"/>
      <c r="L33" s="1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</sheetData>
  <mergeCells count="45">
    <mergeCell ref="A33:B33"/>
    <mergeCell ref="K33:L33"/>
    <mergeCell ref="A32:B32"/>
    <mergeCell ref="K32:L32"/>
    <mergeCell ref="C32:J32"/>
    <mergeCell ref="C33:J33"/>
    <mergeCell ref="A31:B31"/>
    <mergeCell ref="K31:L31"/>
    <mergeCell ref="A30:B30"/>
    <mergeCell ref="K30:L30"/>
    <mergeCell ref="C30:J30"/>
    <mergeCell ref="C31:J31"/>
    <mergeCell ref="A29:B29"/>
    <mergeCell ref="K29:L29"/>
    <mergeCell ref="A28:B28"/>
    <mergeCell ref="K28:L28"/>
    <mergeCell ref="C28:J28"/>
    <mergeCell ref="C29:J29"/>
    <mergeCell ref="A24:L24"/>
    <mergeCell ref="A25:L25"/>
    <mergeCell ref="A26:L26"/>
    <mergeCell ref="A27:B27"/>
    <mergeCell ref="K27:L27"/>
    <mergeCell ref="C27:J27"/>
    <mergeCell ref="A21:L21"/>
    <mergeCell ref="A22:L22"/>
    <mergeCell ref="A23:L23"/>
    <mergeCell ref="A15:L15"/>
    <mergeCell ref="A16:L16"/>
    <mergeCell ref="A17:L17"/>
    <mergeCell ref="A19:L19"/>
    <mergeCell ref="A18:L18"/>
    <mergeCell ref="A20:L20"/>
    <mergeCell ref="A12:L12"/>
    <mergeCell ref="A13:L13"/>
    <mergeCell ref="A14:L14"/>
    <mergeCell ref="A7:L9"/>
    <mergeCell ref="A10:L10"/>
    <mergeCell ref="A11:L11"/>
    <mergeCell ref="A1:L1"/>
    <mergeCell ref="A2:L2"/>
    <mergeCell ref="A3:C3"/>
    <mergeCell ref="D3:L3"/>
    <mergeCell ref="G4:L6"/>
    <mergeCell ref="A4:F6"/>
  </mergeCells>
  <phoneticPr fontId="3" type="noConversion"/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8"/>
  <dimension ref="A1:L32"/>
  <sheetViews>
    <sheetView zoomScale="75" workbookViewId="0">
      <selection activeCell="A8" sqref="A8:L8"/>
    </sheetView>
  </sheetViews>
  <sheetFormatPr baseColWidth="10" defaultRowHeight="12.75"/>
  <cols>
    <col min="1" max="5" width="11.42578125" style="2"/>
    <col min="6" max="6" width="8.42578125" style="2" customWidth="1"/>
    <col min="7" max="8" width="11.42578125" style="2"/>
    <col min="9" max="9" width="6.7109375" style="2" customWidth="1"/>
    <col min="10" max="16384" width="11.42578125" style="2"/>
  </cols>
  <sheetData>
    <row r="1" spans="1:12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30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7.25" thickBot="1">
      <c r="A3" s="7" t="s">
        <v>0</v>
      </c>
      <c r="B3" s="7"/>
      <c r="C3" s="7"/>
      <c r="D3" s="4" t="s">
        <v>1</v>
      </c>
      <c r="E3" s="5"/>
      <c r="F3" s="5"/>
      <c r="G3" s="5"/>
      <c r="H3" s="5"/>
      <c r="I3" s="5"/>
      <c r="J3" s="5"/>
      <c r="K3" s="5"/>
      <c r="L3" s="6"/>
    </row>
    <row r="4" spans="1:12">
      <c r="A4" s="12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4"/>
    </row>
    <row r="5" spans="1:12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7"/>
    </row>
    <row r="6" spans="1:12" ht="13.5" thickBo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20"/>
    </row>
    <row r="7" spans="1:12" ht="17.25" thickBot="1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6.5">
      <c r="A8" s="8" t="s">
        <v>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6.5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ht="16.5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ht="16.5">
      <c r="A11" s="9" t="s">
        <v>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7.25" thickBot="1">
      <c r="A23" s="11" t="s">
        <v>6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17.25" thickBot="1">
      <c r="A24" s="3" t="s">
        <v>7</v>
      </c>
      <c r="B24" s="3"/>
      <c r="C24" s="66" t="s">
        <v>9</v>
      </c>
      <c r="D24" s="67"/>
      <c r="E24" s="67"/>
      <c r="F24" s="67"/>
      <c r="G24" s="67"/>
      <c r="H24" s="67"/>
      <c r="I24" s="67"/>
      <c r="J24" s="68"/>
      <c r="K24" s="3" t="s">
        <v>10</v>
      </c>
      <c r="L24" s="3"/>
    </row>
    <row r="25" spans="1:12" ht="16.5">
      <c r="A25" s="8"/>
      <c r="B25" s="8"/>
      <c r="C25" s="60"/>
      <c r="D25" s="61"/>
      <c r="E25" s="61"/>
      <c r="F25" s="61"/>
      <c r="G25" s="61"/>
      <c r="H25" s="61"/>
      <c r="I25" s="61"/>
      <c r="J25" s="62"/>
      <c r="K25" s="8"/>
      <c r="L25" s="8"/>
    </row>
    <row r="26" spans="1:12" ht="16.5">
      <c r="A26" s="9"/>
      <c r="B26" s="9"/>
      <c r="C26" s="51"/>
      <c r="D26" s="52"/>
      <c r="E26" s="52"/>
      <c r="F26" s="52"/>
      <c r="G26" s="52"/>
      <c r="H26" s="52"/>
      <c r="I26" s="52"/>
      <c r="J26" s="53"/>
      <c r="K26" s="9"/>
      <c r="L26" s="9"/>
    </row>
    <row r="27" spans="1:12" ht="16.5">
      <c r="A27" s="9"/>
      <c r="B27" s="9"/>
      <c r="C27" s="51"/>
      <c r="D27" s="52"/>
      <c r="E27" s="52"/>
      <c r="F27" s="52"/>
      <c r="G27" s="52"/>
      <c r="H27" s="52"/>
      <c r="I27" s="52"/>
      <c r="J27" s="53"/>
      <c r="K27" s="9"/>
      <c r="L27" s="9"/>
    </row>
    <row r="28" spans="1:12" ht="16.5">
      <c r="A28" s="9"/>
      <c r="B28" s="9"/>
      <c r="C28" s="51"/>
      <c r="D28" s="52"/>
      <c r="E28" s="52"/>
      <c r="F28" s="52"/>
      <c r="G28" s="52"/>
      <c r="H28" s="52"/>
      <c r="I28" s="52"/>
      <c r="J28" s="53"/>
      <c r="K28" s="9"/>
      <c r="L28" s="9"/>
    </row>
    <row r="29" spans="1:12" ht="16.5">
      <c r="A29" s="9"/>
      <c r="B29" s="9"/>
      <c r="C29" s="51"/>
      <c r="D29" s="52"/>
      <c r="E29" s="52"/>
      <c r="F29" s="52"/>
      <c r="G29" s="52"/>
      <c r="H29" s="52"/>
      <c r="I29" s="52"/>
      <c r="J29" s="53"/>
      <c r="K29" s="9"/>
      <c r="L29" s="9"/>
    </row>
    <row r="30" spans="1:12" ht="17.25" thickBot="1">
      <c r="A30" s="11"/>
      <c r="B30" s="11"/>
      <c r="C30" s="57"/>
      <c r="D30" s="58"/>
      <c r="E30" s="58"/>
      <c r="F30" s="58"/>
      <c r="G30" s="58"/>
      <c r="H30" s="58"/>
      <c r="I30" s="58"/>
      <c r="J30" s="59"/>
      <c r="K30" s="11"/>
      <c r="L30" s="11"/>
    </row>
    <row r="31" spans="1:12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43">
    <mergeCell ref="A29:B29"/>
    <mergeCell ref="C29:J29"/>
    <mergeCell ref="K29:L29"/>
    <mergeCell ref="A30:B30"/>
    <mergeCell ref="C30:J30"/>
    <mergeCell ref="K30:L30"/>
    <mergeCell ref="A27:B27"/>
    <mergeCell ref="C27:J27"/>
    <mergeCell ref="K27:L27"/>
    <mergeCell ref="A28:B28"/>
    <mergeCell ref="C28:J28"/>
    <mergeCell ref="K28:L28"/>
    <mergeCell ref="A25:B25"/>
    <mergeCell ref="C25:J25"/>
    <mergeCell ref="K25:L25"/>
    <mergeCell ref="A26:B26"/>
    <mergeCell ref="C26:J26"/>
    <mergeCell ref="K26:L26"/>
    <mergeCell ref="A19:L19"/>
    <mergeCell ref="A20:L20"/>
    <mergeCell ref="A21:L21"/>
    <mergeCell ref="A22:L22"/>
    <mergeCell ref="A23:L23"/>
    <mergeCell ref="A24:B24"/>
    <mergeCell ref="C24:J24"/>
    <mergeCell ref="K24:L24"/>
    <mergeCell ref="A13:L13"/>
    <mergeCell ref="A14:L14"/>
    <mergeCell ref="A15:L15"/>
    <mergeCell ref="A16:L16"/>
    <mergeCell ref="A17:L17"/>
    <mergeCell ref="A18:L18"/>
    <mergeCell ref="A7:L7"/>
    <mergeCell ref="A8:L8"/>
    <mergeCell ref="A9:L9"/>
    <mergeCell ref="A10:L10"/>
    <mergeCell ref="A11:L11"/>
    <mergeCell ref="A12:L12"/>
    <mergeCell ref="A1:L1"/>
    <mergeCell ref="A2:L2"/>
    <mergeCell ref="A3:C3"/>
    <mergeCell ref="D3:L3"/>
    <mergeCell ref="A4:L6"/>
  </mergeCells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7"/>
  <dimension ref="A1:IV16"/>
  <sheetViews>
    <sheetView workbookViewId="0">
      <selection activeCell="BM12" sqref="BM12"/>
    </sheetView>
  </sheetViews>
  <sheetFormatPr baseColWidth="10" defaultRowHeight="12.75"/>
  <sheetData>
    <row r="1" spans="1:256">
      <c r="A1" t="e">
        <f>IF(ESP.!1:1,"AAAAAHFc+wA=",0)</f>
        <v>#VALUE!</v>
      </c>
      <c r="B1" t="e">
        <f>AND(ESP.!A1,"AAAAAHFc+wE=")</f>
        <v>#VALUE!</v>
      </c>
      <c r="C1" t="e">
        <f>AND(ESP.!B1,"AAAAAHFc+wI=")</f>
        <v>#VALUE!</v>
      </c>
      <c r="D1" t="e">
        <f>AND(ESP.!C1,"AAAAAHFc+wM=")</f>
        <v>#VALUE!</v>
      </c>
      <c r="E1" t="e">
        <f>AND(ESP.!D1,"AAAAAHFc+wQ=")</f>
        <v>#VALUE!</v>
      </c>
      <c r="F1" t="e">
        <f>AND(ESP.!E1,"AAAAAHFc+wU=")</f>
        <v>#VALUE!</v>
      </c>
      <c r="G1" t="e">
        <f>AND(ESP.!F1,"AAAAAHFc+wY=")</f>
        <v>#VALUE!</v>
      </c>
      <c r="H1" t="e">
        <f>AND(ESP.!G1,"AAAAAHFc+wc=")</f>
        <v>#VALUE!</v>
      </c>
      <c r="I1" t="e">
        <f>AND(ESP.!H1,"AAAAAHFc+wg=")</f>
        <v>#VALUE!</v>
      </c>
      <c r="J1" t="e">
        <f>AND(ESP.!I1,"AAAAAHFc+wk=")</f>
        <v>#VALUE!</v>
      </c>
      <c r="K1" t="e">
        <f>AND(ESP.!J1,"AAAAAHFc+wo=")</f>
        <v>#VALUE!</v>
      </c>
      <c r="L1" t="e">
        <f>AND(ESP.!K1,"AAAAAHFc+ws=")</f>
        <v>#VALUE!</v>
      </c>
      <c r="M1" t="e">
        <f>AND(ESP.!L1,"AAAAAHFc+ww=")</f>
        <v>#VALUE!</v>
      </c>
      <c r="N1">
        <f>IF(ESP.!2:2,"AAAAAHFc+w0=",0)</f>
        <v>0</v>
      </c>
      <c r="O1" t="e">
        <f>AND(ESP.!A2,"AAAAAHFc+w4=")</f>
        <v>#VALUE!</v>
      </c>
      <c r="P1" t="e">
        <f>AND(ESP.!B2,"AAAAAHFc+w8=")</f>
        <v>#VALUE!</v>
      </c>
      <c r="Q1" t="e">
        <f>AND(ESP.!C2,"AAAAAHFc+xA=")</f>
        <v>#VALUE!</v>
      </c>
      <c r="R1" t="e">
        <f>AND(ESP.!D2,"AAAAAHFc+xE=")</f>
        <v>#VALUE!</v>
      </c>
      <c r="S1" t="e">
        <f>AND(ESP.!E2,"AAAAAHFc+xI=")</f>
        <v>#VALUE!</v>
      </c>
      <c r="T1" t="e">
        <f>AND(ESP.!F2,"AAAAAHFc+xM=")</f>
        <v>#VALUE!</v>
      </c>
      <c r="U1" t="e">
        <f>AND(ESP.!G2,"AAAAAHFc+xQ=")</f>
        <v>#VALUE!</v>
      </c>
      <c r="V1" t="e">
        <f>AND(ESP.!H2,"AAAAAHFc+xU=")</f>
        <v>#VALUE!</v>
      </c>
      <c r="W1" t="e">
        <f>AND(ESP.!I2,"AAAAAHFc+xY=")</f>
        <v>#VALUE!</v>
      </c>
      <c r="X1" t="e">
        <f>AND(ESP.!J2,"AAAAAHFc+xc=")</f>
        <v>#VALUE!</v>
      </c>
      <c r="Y1" t="e">
        <f>AND(ESP.!K2,"AAAAAHFc+xg=")</f>
        <v>#VALUE!</v>
      </c>
      <c r="Z1" t="e">
        <f>AND(ESP.!L2,"AAAAAHFc+xk=")</f>
        <v>#VALUE!</v>
      </c>
      <c r="AA1">
        <f>IF(ESP.!3:3,"AAAAAHFc+xo=",0)</f>
        <v>0</v>
      </c>
      <c r="AB1" t="e">
        <f>AND(ESP.!A3,"AAAAAHFc+xs=")</f>
        <v>#VALUE!</v>
      </c>
      <c r="AC1" t="e">
        <f>AND(ESP.!B3,"AAAAAHFc+xw=")</f>
        <v>#VALUE!</v>
      </c>
      <c r="AD1" t="e">
        <f>AND(ESP.!C3,"AAAAAHFc+x0=")</f>
        <v>#VALUE!</v>
      </c>
      <c r="AE1" t="e">
        <f>AND(ESP.!D3,"AAAAAHFc+x4=")</f>
        <v>#VALUE!</v>
      </c>
      <c r="AF1" t="e">
        <f>AND(ESP.!E3,"AAAAAHFc+x8=")</f>
        <v>#VALUE!</v>
      </c>
      <c r="AG1" t="e">
        <f>AND(ESP.!F3,"AAAAAHFc+yA=")</f>
        <v>#VALUE!</v>
      </c>
      <c r="AH1" t="e">
        <f>AND(ESP.!G3,"AAAAAHFc+yE=")</f>
        <v>#VALUE!</v>
      </c>
      <c r="AI1" t="e">
        <f>AND(ESP.!H3,"AAAAAHFc+yI=")</f>
        <v>#VALUE!</v>
      </c>
      <c r="AJ1" t="e">
        <f>AND(ESP.!I3,"AAAAAHFc+yM=")</f>
        <v>#VALUE!</v>
      </c>
      <c r="AK1" t="e">
        <f>AND(ESP.!J3,"AAAAAHFc+yQ=")</f>
        <v>#VALUE!</v>
      </c>
      <c r="AL1" t="e">
        <f>AND(ESP.!K3,"AAAAAHFc+yU=")</f>
        <v>#VALUE!</v>
      </c>
      <c r="AM1" t="e">
        <f>AND(ESP.!L3,"AAAAAHFc+yY=")</f>
        <v>#VALUE!</v>
      </c>
      <c r="AN1">
        <f>IF(ESP.!4:4,"AAAAAHFc+yc=",0)</f>
        <v>0</v>
      </c>
      <c r="AO1" t="e">
        <f>AND(ESP.!A4,"AAAAAHFc+yg=")</f>
        <v>#VALUE!</v>
      </c>
      <c r="AP1" t="e">
        <f>AND(ESP.!B4,"AAAAAHFc+yk=")</f>
        <v>#VALUE!</v>
      </c>
      <c r="AQ1" t="e">
        <f>AND(ESP.!C4,"AAAAAHFc+yo=")</f>
        <v>#VALUE!</v>
      </c>
      <c r="AR1" t="e">
        <f>AND(ESP.!D4,"AAAAAHFc+ys=")</f>
        <v>#VALUE!</v>
      </c>
      <c r="AS1" t="e">
        <f>AND(ESP.!E4,"AAAAAHFc+yw=")</f>
        <v>#VALUE!</v>
      </c>
      <c r="AT1" t="e">
        <f>AND(ESP.!F4,"AAAAAHFc+y0=")</f>
        <v>#VALUE!</v>
      </c>
      <c r="AU1" t="e">
        <f>AND(ESP.!G4,"AAAAAHFc+y4=")</f>
        <v>#VALUE!</v>
      </c>
      <c r="AV1" t="e">
        <f>AND(ESP.!H4,"AAAAAHFc+y8=")</f>
        <v>#VALUE!</v>
      </c>
      <c r="AW1" t="e">
        <f>AND(ESP.!I4,"AAAAAHFc+zA=")</f>
        <v>#VALUE!</v>
      </c>
      <c r="AX1" t="e">
        <f>AND(ESP.!J4,"AAAAAHFc+zE=")</f>
        <v>#VALUE!</v>
      </c>
      <c r="AY1" t="e">
        <f>AND(ESP.!K4,"AAAAAHFc+zI=")</f>
        <v>#VALUE!</v>
      </c>
      <c r="AZ1" t="e">
        <f>AND(ESP.!L4,"AAAAAHFc+zM=")</f>
        <v>#VALUE!</v>
      </c>
      <c r="BA1">
        <f>IF(ESP.!5:5,"AAAAAHFc+zQ=",0)</f>
        <v>0</v>
      </c>
      <c r="BB1" t="e">
        <f>AND(ESP.!A5,"AAAAAHFc+zU=")</f>
        <v>#VALUE!</v>
      </c>
      <c r="BC1" t="e">
        <f>AND(ESP.!B5,"AAAAAHFc+zY=")</f>
        <v>#VALUE!</v>
      </c>
      <c r="BD1" t="e">
        <f>AND(ESP.!C5,"AAAAAHFc+zc=")</f>
        <v>#VALUE!</v>
      </c>
      <c r="BE1" t="e">
        <f>AND(ESP.!D5,"AAAAAHFc+zg=")</f>
        <v>#VALUE!</v>
      </c>
      <c r="BF1" t="e">
        <f>AND(ESP.!E5,"AAAAAHFc+zk=")</f>
        <v>#VALUE!</v>
      </c>
      <c r="BG1" t="e">
        <f>AND(ESP.!F5,"AAAAAHFc+zo=")</f>
        <v>#VALUE!</v>
      </c>
      <c r="BH1" t="e">
        <f>AND(ESP.!G5,"AAAAAHFc+zs=")</f>
        <v>#VALUE!</v>
      </c>
      <c r="BI1" t="e">
        <f>AND(ESP.!H5,"AAAAAHFc+zw=")</f>
        <v>#VALUE!</v>
      </c>
      <c r="BJ1" t="e">
        <f>AND(ESP.!I5,"AAAAAHFc+z0=")</f>
        <v>#VALUE!</v>
      </c>
      <c r="BK1" t="e">
        <f>AND(ESP.!J5,"AAAAAHFc+z4=")</f>
        <v>#VALUE!</v>
      </c>
      <c r="BL1" t="e">
        <f>AND(ESP.!K5,"AAAAAHFc+z8=")</f>
        <v>#VALUE!</v>
      </c>
      <c r="BM1" t="e">
        <f>AND(ESP.!L5,"AAAAAHFc+0A=")</f>
        <v>#VALUE!</v>
      </c>
      <c r="BN1">
        <f>IF(ESP.!6:6,"AAAAAHFc+0E=",0)</f>
        <v>0</v>
      </c>
      <c r="BO1" t="e">
        <f>AND(ESP.!A6,"AAAAAHFc+0I=")</f>
        <v>#VALUE!</v>
      </c>
      <c r="BP1" t="e">
        <f>AND(ESP.!B6,"AAAAAHFc+0M=")</f>
        <v>#VALUE!</v>
      </c>
      <c r="BQ1" t="e">
        <f>AND(ESP.!C6,"AAAAAHFc+0Q=")</f>
        <v>#VALUE!</v>
      </c>
      <c r="BR1" t="e">
        <f>AND(ESP.!D6,"AAAAAHFc+0U=")</f>
        <v>#VALUE!</v>
      </c>
      <c r="BS1" t="e">
        <f>AND(ESP.!E6,"AAAAAHFc+0Y=")</f>
        <v>#VALUE!</v>
      </c>
      <c r="BT1" t="e">
        <f>AND(ESP.!F6,"AAAAAHFc+0c=")</f>
        <v>#VALUE!</v>
      </c>
      <c r="BU1" t="e">
        <f>AND(ESP.!G6,"AAAAAHFc+0g=")</f>
        <v>#VALUE!</v>
      </c>
      <c r="BV1" t="e">
        <f>AND(ESP.!H6,"AAAAAHFc+0k=")</f>
        <v>#VALUE!</v>
      </c>
      <c r="BW1" t="e">
        <f>AND(ESP.!I6,"AAAAAHFc+0o=")</f>
        <v>#VALUE!</v>
      </c>
      <c r="BX1" t="e">
        <f>AND(ESP.!J6,"AAAAAHFc+0s=")</f>
        <v>#VALUE!</v>
      </c>
      <c r="BY1" t="e">
        <f>AND(ESP.!K6,"AAAAAHFc+0w=")</f>
        <v>#VALUE!</v>
      </c>
      <c r="BZ1" t="e">
        <f>AND(ESP.!L6,"AAAAAHFc+00=")</f>
        <v>#VALUE!</v>
      </c>
      <c r="CA1">
        <f>IF(ESP.!7:7,"AAAAAHFc+04=",0)</f>
        <v>0</v>
      </c>
      <c r="CB1" t="e">
        <f>AND(ESP.!A7,"AAAAAHFc+08=")</f>
        <v>#VALUE!</v>
      </c>
      <c r="CC1" t="e">
        <f>AND(ESP.!B7,"AAAAAHFc+1A=")</f>
        <v>#VALUE!</v>
      </c>
      <c r="CD1" t="e">
        <f>AND(ESP.!C7,"AAAAAHFc+1E=")</f>
        <v>#VALUE!</v>
      </c>
      <c r="CE1" t="e">
        <f>AND(ESP.!D7,"AAAAAHFc+1I=")</f>
        <v>#VALUE!</v>
      </c>
      <c r="CF1" t="e">
        <f>AND(ESP.!E7,"AAAAAHFc+1M=")</f>
        <v>#VALUE!</v>
      </c>
      <c r="CG1" t="e">
        <f>AND(ESP.!F7,"AAAAAHFc+1Q=")</f>
        <v>#VALUE!</v>
      </c>
      <c r="CH1" t="e">
        <f>AND(ESP.!G7,"AAAAAHFc+1U=")</f>
        <v>#VALUE!</v>
      </c>
      <c r="CI1" t="e">
        <f>AND(ESP.!H7,"AAAAAHFc+1Y=")</f>
        <v>#VALUE!</v>
      </c>
      <c r="CJ1" t="e">
        <f>AND(ESP.!I7,"AAAAAHFc+1c=")</f>
        <v>#VALUE!</v>
      </c>
      <c r="CK1" t="e">
        <f>AND(ESP.!J7,"AAAAAHFc+1g=")</f>
        <v>#VALUE!</v>
      </c>
      <c r="CL1" t="e">
        <f>AND(ESP.!K7,"AAAAAHFc+1k=")</f>
        <v>#VALUE!</v>
      </c>
      <c r="CM1" t="e">
        <f>AND(ESP.!L7,"AAAAAHFc+1o=")</f>
        <v>#VALUE!</v>
      </c>
      <c r="CN1">
        <f>IF(ESP.!8:8,"AAAAAHFc+1s=",0)</f>
        <v>0</v>
      </c>
      <c r="CO1" t="e">
        <f>AND(ESP.!A8,"AAAAAHFc+1w=")</f>
        <v>#VALUE!</v>
      </c>
      <c r="CP1" t="e">
        <f>AND(ESP.!B8,"AAAAAHFc+10=")</f>
        <v>#VALUE!</v>
      </c>
      <c r="CQ1" t="e">
        <f>AND(ESP.!C8,"AAAAAHFc+14=")</f>
        <v>#VALUE!</v>
      </c>
      <c r="CR1" t="e">
        <f>AND(ESP.!D8,"AAAAAHFc+18=")</f>
        <v>#VALUE!</v>
      </c>
      <c r="CS1" t="e">
        <f>AND(ESP.!E8,"AAAAAHFc+2A=")</f>
        <v>#VALUE!</v>
      </c>
      <c r="CT1" t="e">
        <f>AND(ESP.!F8,"AAAAAHFc+2E=")</f>
        <v>#VALUE!</v>
      </c>
      <c r="CU1" t="e">
        <f>AND(ESP.!G8,"AAAAAHFc+2I=")</f>
        <v>#VALUE!</v>
      </c>
      <c r="CV1" t="e">
        <f>AND(ESP.!H8,"AAAAAHFc+2M=")</f>
        <v>#VALUE!</v>
      </c>
      <c r="CW1" t="e">
        <f>AND(ESP.!I8,"AAAAAHFc+2Q=")</f>
        <v>#VALUE!</v>
      </c>
      <c r="CX1" t="e">
        <f>AND(ESP.!J8,"AAAAAHFc+2U=")</f>
        <v>#VALUE!</v>
      </c>
      <c r="CY1" t="e">
        <f>AND(ESP.!K8,"AAAAAHFc+2Y=")</f>
        <v>#VALUE!</v>
      </c>
      <c r="CZ1" t="e">
        <f>AND(ESP.!L8,"AAAAAHFc+2c=")</f>
        <v>#VALUE!</v>
      </c>
      <c r="DA1">
        <f>IF(ESP.!9:9,"AAAAAHFc+2g=",0)</f>
        <v>0</v>
      </c>
      <c r="DB1" t="e">
        <f>AND(ESP.!A9,"AAAAAHFc+2k=")</f>
        <v>#VALUE!</v>
      </c>
      <c r="DC1" t="e">
        <f>AND(ESP.!B9,"AAAAAHFc+2o=")</f>
        <v>#VALUE!</v>
      </c>
      <c r="DD1" t="e">
        <f>AND(ESP.!C9,"AAAAAHFc+2s=")</f>
        <v>#VALUE!</v>
      </c>
      <c r="DE1" t="e">
        <f>AND(ESP.!D9,"AAAAAHFc+2w=")</f>
        <v>#VALUE!</v>
      </c>
      <c r="DF1" t="e">
        <f>AND(ESP.!E9,"AAAAAHFc+20=")</f>
        <v>#VALUE!</v>
      </c>
      <c r="DG1" t="e">
        <f>AND(ESP.!F9,"AAAAAHFc+24=")</f>
        <v>#VALUE!</v>
      </c>
      <c r="DH1" t="e">
        <f>AND(ESP.!G9,"AAAAAHFc+28=")</f>
        <v>#VALUE!</v>
      </c>
      <c r="DI1" t="e">
        <f>AND(ESP.!H9,"AAAAAHFc+3A=")</f>
        <v>#VALUE!</v>
      </c>
      <c r="DJ1" t="e">
        <f>AND(ESP.!I9,"AAAAAHFc+3E=")</f>
        <v>#VALUE!</v>
      </c>
      <c r="DK1" t="e">
        <f>AND(ESP.!J9,"AAAAAHFc+3I=")</f>
        <v>#VALUE!</v>
      </c>
      <c r="DL1" t="e">
        <f>AND(ESP.!K9,"AAAAAHFc+3M=")</f>
        <v>#VALUE!</v>
      </c>
      <c r="DM1" t="e">
        <f>AND(ESP.!L9,"AAAAAHFc+3Q=")</f>
        <v>#VALUE!</v>
      </c>
      <c r="DN1">
        <f>IF(ESP.!10:10,"AAAAAHFc+3U=",0)</f>
        <v>0</v>
      </c>
      <c r="DO1" t="e">
        <f>AND(ESP.!A10,"AAAAAHFc+3Y=")</f>
        <v>#VALUE!</v>
      </c>
      <c r="DP1" t="e">
        <f>AND(ESP.!B10,"AAAAAHFc+3c=")</f>
        <v>#VALUE!</v>
      </c>
      <c r="DQ1" t="e">
        <f>AND(ESP.!C10,"AAAAAHFc+3g=")</f>
        <v>#VALUE!</v>
      </c>
      <c r="DR1" t="e">
        <f>AND(ESP.!D10,"AAAAAHFc+3k=")</f>
        <v>#VALUE!</v>
      </c>
      <c r="DS1" t="e">
        <f>AND(ESP.!E10,"AAAAAHFc+3o=")</f>
        <v>#VALUE!</v>
      </c>
      <c r="DT1" t="e">
        <f>AND(ESP.!F10,"AAAAAHFc+3s=")</f>
        <v>#VALUE!</v>
      </c>
      <c r="DU1" t="e">
        <f>AND(ESP.!G10,"AAAAAHFc+3w=")</f>
        <v>#VALUE!</v>
      </c>
      <c r="DV1" t="e">
        <f>AND(ESP.!H10,"AAAAAHFc+30=")</f>
        <v>#VALUE!</v>
      </c>
      <c r="DW1" t="e">
        <f>AND(ESP.!I10,"AAAAAHFc+34=")</f>
        <v>#VALUE!</v>
      </c>
      <c r="DX1" t="e">
        <f>AND(ESP.!J10,"AAAAAHFc+38=")</f>
        <v>#VALUE!</v>
      </c>
      <c r="DY1" t="e">
        <f>AND(ESP.!K10,"AAAAAHFc+4A=")</f>
        <v>#VALUE!</v>
      </c>
      <c r="DZ1" t="e">
        <f>AND(ESP.!L10,"AAAAAHFc+4E=")</f>
        <v>#VALUE!</v>
      </c>
      <c r="EA1">
        <f>IF(ESP.!11:11,"AAAAAHFc+4I=",0)</f>
        <v>0</v>
      </c>
      <c r="EB1" t="e">
        <f>AND(ESP.!A11,"AAAAAHFc+4M=")</f>
        <v>#VALUE!</v>
      </c>
      <c r="EC1" t="e">
        <f>AND(ESP.!B11,"AAAAAHFc+4Q=")</f>
        <v>#VALUE!</v>
      </c>
      <c r="ED1" t="e">
        <f>AND(ESP.!C11,"AAAAAHFc+4U=")</f>
        <v>#VALUE!</v>
      </c>
      <c r="EE1" t="e">
        <f>AND(ESP.!D11,"AAAAAHFc+4Y=")</f>
        <v>#VALUE!</v>
      </c>
      <c r="EF1" t="e">
        <f>AND(ESP.!E11,"AAAAAHFc+4c=")</f>
        <v>#VALUE!</v>
      </c>
      <c r="EG1" t="e">
        <f>AND(ESP.!F11,"AAAAAHFc+4g=")</f>
        <v>#VALUE!</v>
      </c>
      <c r="EH1" t="e">
        <f>AND(ESP.!G11,"AAAAAHFc+4k=")</f>
        <v>#VALUE!</v>
      </c>
      <c r="EI1" t="e">
        <f>AND(ESP.!H11,"AAAAAHFc+4o=")</f>
        <v>#VALUE!</v>
      </c>
      <c r="EJ1" t="e">
        <f>AND(ESP.!I11,"AAAAAHFc+4s=")</f>
        <v>#VALUE!</v>
      </c>
      <c r="EK1" t="e">
        <f>AND(ESP.!J11,"AAAAAHFc+4w=")</f>
        <v>#VALUE!</v>
      </c>
      <c r="EL1" t="e">
        <f>AND(ESP.!K11,"AAAAAHFc+40=")</f>
        <v>#VALUE!</v>
      </c>
      <c r="EM1" t="e">
        <f>AND(ESP.!L11,"AAAAAHFc+44=")</f>
        <v>#VALUE!</v>
      </c>
      <c r="EN1">
        <f>IF(ESP.!12:12,"AAAAAHFc+48=",0)</f>
        <v>0</v>
      </c>
      <c r="EO1" t="e">
        <f>AND(ESP.!A12,"AAAAAHFc+5A=")</f>
        <v>#VALUE!</v>
      </c>
      <c r="EP1" t="e">
        <f>AND(ESP.!B12,"AAAAAHFc+5E=")</f>
        <v>#VALUE!</v>
      </c>
      <c r="EQ1" t="e">
        <f>AND(ESP.!C12,"AAAAAHFc+5I=")</f>
        <v>#VALUE!</v>
      </c>
      <c r="ER1" t="e">
        <f>AND(ESP.!D12,"AAAAAHFc+5M=")</f>
        <v>#VALUE!</v>
      </c>
      <c r="ES1" t="e">
        <f>AND(ESP.!E12,"AAAAAHFc+5Q=")</f>
        <v>#VALUE!</v>
      </c>
      <c r="ET1" t="e">
        <f>AND(ESP.!F12,"AAAAAHFc+5U=")</f>
        <v>#VALUE!</v>
      </c>
      <c r="EU1" t="e">
        <f>AND(ESP.!G12,"AAAAAHFc+5Y=")</f>
        <v>#VALUE!</v>
      </c>
      <c r="EV1" t="e">
        <f>AND(ESP.!H12,"AAAAAHFc+5c=")</f>
        <v>#VALUE!</v>
      </c>
      <c r="EW1" t="e">
        <f>AND(ESP.!I12,"AAAAAHFc+5g=")</f>
        <v>#VALUE!</v>
      </c>
      <c r="EX1" t="e">
        <f>AND(ESP.!J12,"AAAAAHFc+5k=")</f>
        <v>#VALUE!</v>
      </c>
      <c r="EY1" t="e">
        <f>AND(ESP.!K12,"AAAAAHFc+5o=")</f>
        <v>#VALUE!</v>
      </c>
      <c r="EZ1" t="e">
        <f>AND(ESP.!L12,"AAAAAHFc+5s=")</f>
        <v>#VALUE!</v>
      </c>
      <c r="FA1">
        <f>IF(ESP.!13:13,"AAAAAHFc+5w=",0)</f>
        <v>0</v>
      </c>
      <c r="FB1" t="e">
        <f>AND(ESP.!A13,"AAAAAHFc+50=")</f>
        <v>#VALUE!</v>
      </c>
      <c r="FC1" t="e">
        <f>AND(ESP.!B13,"AAAAAHFc+54=")</f>
        <v>#VALUE!</v>
      </c>
      <c r="FD1" t="e">
        <f>AND(ESP.!C13,"AAAAAHFc+58=")</f>
        <v>#VALUE!</v>
      </c>
      <c r="FE1" t="e">
        <f>AND(ESP.!D13,"AAAAAHFc+6A=")</f>
        <v>#VALUE!</v>
      </c>
      <c r="FF1" t="e">
        <f>AND(ESP.!E13,"AAAAAHFc+6E=")</f>
        <v>#VALUE!</v>
      </c>
      <c r="FG1" t="e">
        <f>AND(ESP.!F13,"AAAAAHFc+6I=")</f>
        <v>#VALUE!</v>
      </c>
      <c r="FH1" t="e">
        <f>AND(ESP.!G13,"AAAAAHFc+6M=")</f>
        <v>#VALUE!</v>
      </c>
      <c r="FI1" t="e">
        <f>AND(ESP.!H13,"AAAAAHFc+6Q=")</f>
        <v>#VALUE!</v>
      </c>
      <c r="FJ1" t="e">
        <f>AND(ESP.!I13,"AAAAAHFc+6U=")</f>
        <v>#VALUE!</v>
      </c>
      <c r="FK1" t="e">
        <f>AND(ESP.!J13,"AAAAAHFc+6Y=")</f>
        <v>#VALUE!</v>
      </c>
      <c r="FL1" t="e">
        <f>AND(ESP.!K13,"AAAAAHFc+6c=")</f>
        <v>#VALUE!</v>
      </c>
      <c r="FM1" t="e">
        <f>AND(ESP.!L13,"AAAAAHFc+6g=")</f>
        <v>#VALUE!</v>
      </c>
      <c r="FN1">
        <f>IF(ESP.!14:14,"AAAAAHFc+6k=",0)</f>
        <v>0</v>
      </c>
      <c r="FO1" t="e">
        <f>AND(ESP.!A14,"AAAAAHFc+6o=")</f>
        <v>#VALUE!</v>
      </c>
      <c r="FP1" t="e">
        <f>AND(ESP.!B14,"AAAAAHFc+6s=")</f>
        <v>#VALUE!</v>
      </c>
      <c r="FQ1" t="e">
        <f>AND(ESP.!C14,"AAAAAHFc+6w=")</f>
        <v>#VALUE!</v>
      </c>
      <c r="FR1" t="e">
        <f>AND(ESP.!D14,"AAAAAHFc+60=")</f>
        <v>#VALUE!</v>
      </c>
      <c r="FS1" t="e">
        <f>AND(ESP.!E14,"AAAAAHFc+64=")</f>
        <v>#VALUE!</v>
      </c>
      <c r="FT1" t="e">
        <f>AND(ESP.!F14,"AAAAAHFc+68=")</f>
        <v>#VALUE!</v>
      </c>
      <c r="FU1" t="e">
        <f>AND(ESP.!G14,"AAAAAHFc+7A=")</f>
        <v>#VALUE!</v>
      </c>
      <c r="FV1" t="e">
        <f>AND(ESP.!H14,"AAAAAHFc+7E=")</f>
        <v>#VALUE!</v>
      </c>
      <c r="FW1" t="e">
        <f>AND(ESP.!I14,"AAAAAHFc+7I=")</f>
        <v>#VALUE!</v>
      </c>
      <c r="FX1" t="e">
        <f>AND(ESP.!J14,"AAAAAHFc+7M=")</f>
        <v>#VALUE!</v>
      </c>
      <c r="FY1" t="e">
        <f>AND(ESP.!K14,"AAAAAHFc+7Q=")</f>
        <v>#VALUE!</v>
      </c>
      <c r="FZ1" t="e">
        <f>AND(ESP.!L14,"AAAAAHFc+7U=")</f>
        <v>#VALUE!</v>
      </c>
      <c r="GA1">
        <f>IF(ESP.!15:15,"AAAAAHFc+7Y=",0)</f>
        <v>0</v>
      </c>
      <c r="GB1" t="e">
        <f>AND(ESP.!A15,"AAAAAHFc+7c=")</f>
        <v>#VALUE!</v>
      </c>
      <c r="GC1" t="e">
        <f>AND(ESP.!B15,"AAAAAHFc+7g=")</f>
        <v>#VALUE!</v>
      </c>
      <c r="GD1" t="e">
        <f>AND(ESP.!C15,"AAAAAHFc+7k=")</f>
        <v>#VALUE!</v>
      </c>
      <c r="GE1" t="e">
        <f>AND(ESP.!D15,"AAAAAHFc+7o=")</f>
        <v>#VALUE!</v>
      </c>
      <c r="GF1" t="e">
        <f>AND(ESP.!E15,"AAAAAHFc+7s=")</f>
        <v>#VALUE!</v>
      </c>
      <c r="GG1" t="e">
        <f>AND(ESP.!F15,"AAAAAHFc+7w=")</f>
        <v>#VALUE!</v>
      </c>
      <c r="GH1" t="e">
        <f>AND(ESP.!G15,"AAAAAHFc+70=")</f>
        <v>#VALUE!</v>
      </c>
      <c r="GI1" t="e">
        <f>AND(ESP.!H15,"AAAAAHFc+74=")</f>
        <v>#VALUE!</v>
      </c>
      <c r="GJ1" t="e">
        <f>AND(ESP.!I15,"AAAAAHFc+78=")</f>
        <v>#VALUE!</v>
      </c>
      <c r="GK1" t="e">
        <f>AND(ESP.!J15,"AAAAAHFc+8A=")</f>
        <v>#VALUE!</v>
      </c>
      <c r="GL1" t="e">
        <f>AND(ESP.!K15,"AAAAAHFc+8E=")</f>
        <v>#VALUE!</v>
      </c>
      <c r="GM1" t="e">
        <f>AND(ESP.!L15,"AAAAAHFc+8I=")</f>
        <v>#VALUE!</v>
      </c>
      <c r="GN1">
        <f>IF(ESP.!16:16,"AAAAAHFc+8M=",0)</f>
        <v>0</v>
      </c>
      <c r="GO1" t="e">
        <f>AND(ESP.!A16,"AAAAAHFc+8Q=")</f>
        <v>#VALUE!</v>
      </c>
      <c r="GP1" t="e">
        <f>AND(ESP.!B16,"AAAAAHFc+8U=")</f>
        <v>#VALUE!</v>
      </c>
      <c r="GQ1" t="e">
        <f>AND(ESP.!C16,"AAAAAHFc+8Y=")</f>
        <v>#VALUE!</v>
      </c>
      <c r="GR1" t="e">
        <f>AND(ESP.!D16,"AAAAAHFc+8c=")</f>
        <v>#VALUE!</v>
      </c>
      <c r="GS1" t="e">
        <f>AND(ESP.!E16,"AAAAAHFc+8g=")</f>
        <v>#VALUE!</v>
      </c>
      <c r="GT1" t="e">
        <f>AND(ESP.!F16,"AAAAAHFc+8k=")</f>
        <v>#VALUE!</v>
      </c>
      <c r="GU1" t="e">
        <f>AND(ESP.!G16,"AAAAAHFc+8o=")</f>
        <v>#VALUE!</v>
      </c>
      <c r="GV1" t="e">
        <f>AND(ESP.!H16,"AAAAAHFc+8s=")</f>
        <v>#VALUE!</v>
      </c>
      <c r="GW1" t="e">
        <f>AND(ESP.!I16,"AAAAAHFc+8w=")</f>
        <v>#VALUE!</v>
      </c>
      <c r="GX1" t="e">
        <f>AND(ESP.!J16,"AAAAAHFc+80=")</f>
        <v>#VALUE!</v>
      </c>
      <c r="GY1" t="e">
        <f>AND(ESP.!K16,"AAAAAHFc+84=")</f>
        <v>#VALUE!</v>
      </c>
      <c r="GZ1" t="e">
        <f>AND(ESP.!L16,"AAAAAHFc+88=")</f>
        <v>#VALUE!</v>
      </c>
      <c r="HA1">
        <f>IF(ESP.!17:17,"AAAAAHFc+9A=",0)</f>
        <v>0</v>
      </c>
      <c r="HB1" t="e">
        <f>AND(ESP.!A17,"AAAAAHFc+9E=")</f>
        <v>#VALUE!</v>
      </c>
      <c r="HC1" t="e">
        <f>AND(ESP.!B17,"AAAAAHFc+9I=")</f>
        <v>#VALUE!</v>
      </c>
      <c r="HD1" t="e">
        <f>AND(ESP.!C17,"AAAAAHFc+9M=")</f>
        <v>#VALUE!</v>
      </c>
      <c r="HE1" t="e">
        <f>AND(ESP.!D17,"AAAAAHFc+9Q=")</f>
        <v>#VALUE!</v>
      </c>
      <c r="HF1" t="e">
        <f>AND(ESP.!E17,"AAAAAHFc+9U=")</f>
        <v>#VALUE!</v>
      </c>
      <c r="HG1" t="e">
        <f>AND(ESP.!F17,"AAAAAHFc+9Y=")</f>
        <v>#VALUE!</v>
      </c>
      <c r="HH1" t="e">
        <f>AND(ESP.!G17,"AAAAAHFc+9c=")</f>
        <v>#VALUE!</v>
      </c>
      <c r="HI1" t="e">
        <f>AND(ESP.!H17,"AAAAAHFc+9g=")</f>
        <v>#VALUE!</v>
      </c>
      <c r="HJ1" t="e">
        <f>AND(ESP.!I17,"AAAAAHFc+9k=")</f>
        <v>#VALUE!</v>
      </c>
      <c r="HK1" t="e">
        <f>AND(ESP.!J17,"AAAAAHFc+9o=")</f>
        <v>#VALUE!</v>
      </c>
      <c r="HL1" t="e">
        <f>AND(ESP.!K17,"AAAAAHFc+9s=")</f>
        <v>#VALUE!</v>
      </c>
      <c r="HM1" t="e">
        <f>AND(ESP.!L17,"AAAAAHFc+9w=")</f>
        <v>#VALUE!</v>
      </c>
      <c r="HN1">
        <f>IF(ESP.!18:18,"AAAAAHFc+90=",0)</f>
        <v>0</v>
      </c>
      <c r="HO1" t="e">
        <f>AND(ESP.!A18,"AAAAAHFc+94=")</f>
        <v>#VALUE!</v>
      </c>
      <c r="HP1" t="e">
        <f>AND(ESP.!B18,"AAAAAHFc+98=")</f>
        <v>#VALUE!</v>
      </c>
      <c r="HQ1" t="e">
        <f>AND(ESP.!C18,"AAAAAHFc++A=")</f>
        <v>#VALUE!</v>
      </c>
      <c r="HR1" t="e">
        <f>AND(ESP.!D18,"AAAAAHFc++E=")</f>
        <v>#VALUE!</v>
      </c>
      <c r="HS1" t="e">
        <f>AND(ESP.!E18,"AAAAAHFc++I=")</f>
        <v>#VALUE!</v>
      </c>
      <c r="HT1" t="e">
        <f>AND(ESP.!F18,"AAAAAHFc++M=")</f>
        <v>#VALUE!</v>
      </c>
      <c r="HU1" t="e">
        <f>AND(ESP.!G18,"AAAAAHFc++Q=")</f>
        <v>#VALUE!</v>
      </c>
      <c r="HV1" t="e">
        <f>AND(ESP.!H18,"AAAAAHFc++U=")</f>
        <v>#VALUE!</v>
      </c>
      <c r="HW1" t="e">
        <f>AND(ESP.!I18,"AAAAAHFc++Y=")</f>
        <v>#VALUE!</v>
      </c>
      <c r="HX1" t="e">
        <f>AND(ESP.!J18,"AAAAAHFc++c=")</f>
        <v>#VALUE!</v>
      </c>
      <c r="HY1" t="e">
        <f>AND(ESP.!K18,"AAAAAHFc++g=")</f>
        <v>#VALUE!</v>
      </c>
      <c r="HZ1" t="e">
        <f>AND(ESP.!L18,"AAAAAHFc++k=")</f>
        <v>#VALUE!</v>
      </c>
      <c r="IA1">
        <f>IF(ESP.!19:19,"AAAAAHFc++o=",0)</f>
        <v>0</v>
      </c>
      <c r="IB1" t="e">
        <f>AND(ESP.!A19,"AAAAAHFc++s=")</f>
        <v>#VALUE!</v>
      </c>
      <c r="IC1" t="e">
        <f>AND(ESP.!B19,"AAAAAHFc++w=")</f>
        <v>#VALUE!</v>
      </c>
      <c r="ID1" t="e">
        <f>AND(ESP.!C19,"AAAAAHFc++0=")</f>
        <v>#VALUE!</v>
      </c>
      <c r="IE1" t="e">
        <f>AND(ESP.!D19,"AAAAAHFc++4=")</f>
        <v>#VALUE!</v>
      </c>
      <c r="IF1" t="e">
        <f>AND(ESP.!E19,"AAAAAHFc++8=")</f>
        <v>#VALUE!</v>
      </c>
      <c r="IG1" t="e">
        <f>AND(ESP.!F19,"AAAAAHFc+/A=")</f>
        <v>#VALUE!</v>
      </c>
      <c r="IH1" t="e">
        <f>AND(ESP.!G19,"AAAAAHFc+/E=")</f>
        <v>#VALUE!</v>
      </c>
      <c r="II1" t="e">
        <f>AND(ESP.!H19,"AAAAAHFc+/I=")</f>
        <v>#VALUE!</v>
      </c>
      <c r="IJ1" t="e">
        <f>AND(ESP.!I19,"AAAAAHFc+/M=")</f>
        <v>#VALUE!</v>
      </c>
      <c r="IK1" t="e">
        <f>AND(ESP.!J19,"AAAAAHFc+/Q=")</f>
        <v>#VALUE!</v>
      </c>
      <c r="IL1" t="e">
        <f>AND(ESP.!K19,"AAAAAHFc+/U=")</f>
        <v>#VALUE!</v>
      </c>
      <c r="IM1" t="e">
        <f>AND(ESP.!L19,"AAAAAHFc+/Y=")</f>
        <v>#VALUE!</v>
      </c>
      <c r="IN1">
        <f>IF(ESP.!20:20,"AAAAAHFc+/c=",0)</f>
        <v>0</v>
      </c>
      <c r="IO1" t="e">
        <f>AND(ESP.!A20,"AAAAAHFc+/g=")</f>
        <v>#VALUE!</v>
      </c>
      <c r="IP1" t="e">
        <f>AND(ESP.!B20,"AAAAAHFc+/k=")</f>
        <v>#VALUE!</v>
      </c>
      <c r="IQ1" t="e">
        <f>AND(ESP.!C20,"AAAAAHFc+/o=")</f>
        <v>#VALUE!</v>
      </c>
      <c r="IR1" t="e">
        <f>AND(ESP.!D20,"AAAAAHFc+/s=")</f>
        <v>#VALUE!</v>
      </c>
      <c r="IS1" t="e">
        <f>AND(ESP.!E20,"AAAAAHFc+/w=")</f>
        <v>#VALUE!</v>
      </c>
      <c r="IT1" t="e">
        <f>AND(ESP.!F20,"AAAAAHFc+/0=")</f>
        <v>#VALUE!</v>
      </c>
      <c r="IU1" t="e">
        <f>AND(ESP.!G20,"AAAAAHFc+/4=")</f>
        <v>#VALUE!</v>
      </c>
      <c r="IV1" t="e">
        <f>AND(ESP.!H20,"AAAAAHFc+/8=")</f>
        <v>#VALUE!</v>
      </c>
    </row>
    <row r="2" spans="1:256">
      <c r="A2" t="e">
        <f>AND(ESP.!I20,"AAAAAH/3UwA=")</f>
        <v>#VALUE!</v>
      </c>
      <c r="B2" t="e">
        <f>AND(ESP.!J20,"AAAAAH/3UwE=")</f>
        <v>#VALUE!</v>
      </c>
      <c r="C2" t="e">
        <f>AND(ESP.!K20,"AAAAAH/3UwI=")</f>
        <v>#VALUE!</v>
      </c>
      <c r="D2" t="e">
        <f>AND(ESP.!L20,"AAAAAH/3UwM=")</f>
        <v>#VALUE!</v>
      </c>
      <c r="E2">
        <f>IF(ESP.!21:21,"AAAAAH/3UwQ=",0)</f>
        <v>0</v>
      </c>
      <c r="F2" t="e">
        <f>AND(ESP.!A21,"AAAAAH/3UwU=")</f>
        <v>#VALUE!</v>
      </c>
      <c r="G2" t="e">
        <f>AND(ESP.!B21,"AAAAAH/3UwY=")</f>
        <v>#VALUE!</v>
      </c>
      <c r="H2" t="e">
        <f>AND(ESP.!C21,"AAAAAH/3Uwc=")</f>
        <v>#VALUE!</v>
      </c>
      <c r="I2" t="e">
        <f>AND(ESP.!D21,"AAAAAH/3Uwg=")</f>
        <v>#VALUE!</v>
      </c>
      <c r="J2" t="e">
        <f>AND(ESP.!E21,"AAAAAH/3Uwk=")</f>
        <v>#VALUE!</v>
      </c>
      <c r="K2" t="e">
        <f>AND(ESP.!F21,"AAAAAH/3Uwo=")</f>
        <v>#VALUE!</v>
      </c>
      <c r="L2" t="e">
        <f>AND(ESP.!G21,"AAAAAH/3Uws=")</f>
        <v>#VALUE!</v>
      </c>
      <c r="M2" t="e">
        <f>AND(ESP.!H21,"AAAAAH/3Uww=")</f>
        <v>#VALUE!</v>
      </c>
      <c r="N2" t="e">
        <f>AND(ESP.!I21,"AAAAAH/3Uw0=")</f>
        <v>#VALUE!</v>
      </c>
      <c r="O2" t="e">
        <f>AND(ESP.!J21,"AAAAAH/3Uw4=")</f>
        <v>#VALUE!</v>
      </c>
      <c r="P2" t="e">
        <f>AND(ESP.!K21,"AAAAAH/3Uw8=")</f>
        <v>#VALUE!</v>
      </c>
      <c r="Q2" t="e">
        <f>AND(ESP.!L21,"AAAAAH/3UxA=")</f>
        <v>#VALUE!</v>
      </c>
      <c r="R2">
        <f>IF(ESP.!22:22,"AAAAAH/3UxE=",0)</f>
        <v>0</v>
      </c>
      <c r="S2" t="e">
        <f>AND(ESP.!A22,"AAAAAH/3UxI=")</f>
        <v>#VALUE!</v>
      </c>
      <c r="T2" t="e">
        <f>AND(ESP.!B22,"AAAAAH/3UxM=")</f>
        <v>#VALUE!</v>
      </c>
      <c r="U2" t="e">
        <f>AND(ESP.!C22,"AAAAAH/3UxQ=")</f>
        <v>#VALUE!</v>
      </c>
      <c r="V2" t="e">
        <f>AND(ESP.!D22,"AAAAAH/3UxU=")</f>
        <v>#VALUE!</v>
      </c>
      <c r="W2" t="e">
        <f>AND(ESP.!E22,"AAAAAH/3UxY=")</f>
        <v>#VALUE!</v>
      </c>
      <c r="X2" t="e">
        <f>AND(ESP.!F22,"AAAAAH/3Uxc=")</f>
        <v>#VALUE!</v>
      </c>
      <c r="Y2" t="e">
        <f>AND(ESP.!G22,"AAAAAH/3Uxg=")</f>
        <v>#VALUE!</v>
      </c>
      <c r="Z2" t="e">
        <f>AND(ESP.!H22,"AAAAAH/3Uxk=")</f>
        <v>#VALUE!</v>
      </c>
      <c r="AA2" t="e">
        <f>AND(ESP.!I22,"AAAAAH/3Uxo=")</f>
        <v>#VALUE!</v>
      </c>
      <c r="AB2" t="e">
        <f>AND(ESP.!J22,"AAAAAH/3Uxs=")</f>
        <v>#VALUE!</v>
      </c>
      <c r="AC2" t="e">
        <f>AND(ESP.!K22,"AAAAAH/3Uxw=")</f>
        <v>#VALUE!</v>
      </c>
      <c r="AD2" t="e">
        <f>AND(ESP.!L22,"AAAAAH/3Ux0=")</f>
        <v>#VALUE!</v>
      </c>
      <c r="AE2">
        <f>IF(ESP.!23:23,"AAAAAH/3Ux4=",0)</f>
        <v>0</v>
      </c>
      <c r="AF2" t="e">
        <f>AND(ESP.!A23,"AAAAAH/3Ux8=")</f>
        <v>#VALUE!</v>
      </c>
      <c r="AG2" t="e">
        <f>AND(ESP.!B23,"AAAAAH/3UyA=")</f>
        <v>#VALUE!</v>
      </c>
      <c r="AH2" t="e">
        <f>AND(ESP.!C23,"AAAAAH/3UyE=")</f>
        <v>#VALUE!</v>
      </c>
      <c r="AI2" t="e">
        <f>AND(ESP.!D23,"AAAAAH/3UyI=")</f>
        <v>#VALUE!</v>
      </c>
      <c r="AJ2" t="e">
        <f>AND(ESP.!E23,"AAAAAH/3UyM=")</f>
        <v>#VALUE!</v>
      </c>
      <c r="AK2" t="e">
        <f>AND(ESP.!F23,"AAAAAH/3UyQ=")</f>
        <v>#VALUE!</v>
      </c>
      <c r="AL2" t="e">
        <f>AND(ESP.!G23,"AAAAAH/3UyU=")</f>
        <v>#VALUE!</v>
      </c>
      <c r="AM2" t="e">
        <f>AND(ESP.!H23,"AAAAAH/3UyY=")</f>
        <v>#VALUE!</v>
      </c>
      <c r="AN2" t="e">
        <f>AND(ESP.!I23,"AAAAAH/3Uyc=")</f>
        <v>#VALUE!</v>
      </c>
      <c r="AO2" t="e">
        <f>AND(ESP.!J23,"AAAAAH/3Uyg=")</f>
        <v>#VALUE!</v>
      </c>
      <c r="AP2" t="e">
        <f>AND(ESP.!K23,"AAAAAH/3Uyk=")</f>
        <v>#VALUE!</v>
      </c>
      <c r="AQ2" t="e">
        <f>AND(ESP.!L23,"AAAAAH/3Uyo=")</f>
        <v>#VALUE!</v>
      </c>
      <c r="AR2">
        <f>IF(ESP.!24:24,"AAAAAH/3Uys=",0)</f>
        <v>0</v>
      </c>
      <c r="AS2" t="e">
        <f>AND(ESP.!A24,"AAAAAH/3Uyw=")</f>
        <v>#VALUE!</v>
      </c>
      <c r="AT2" t="e">
        <f>AND(ESP.!B24,"AAAAAH/3Uy0=")</f>
        <v>#VALUE!</v>
      </c>
      <c r="AU2" t="e">
        <f>AND(ESP.!C24,"AAAAAH/3Uy4=")</f>
        <v>#VALUE!</v>
      </c>
      <c r="AV2" t="e">
        <f>AND(ESP.!D24,"AAAAAH/3Uy8=")</f>
        <v>#VALUE!</v>
      </c>
      <c r="AW2" t="e">
        <f>AND(ESP.!E24,"AAAAAH/3UzA=")</f>
        <v>#VALUE!</v>
      </c>
      <c r="AX2" t="e">
        <f>AND(ESP.!F24,"AAAAAH/3UzE=")</f>
        <v>#VALUE!</v>
      </c>
      <c r="AY2" t="e">
        <f>AND(ESP.!G24,"AAAAAH/3UzI=")</f>
        <v>#VALUE!</v>
      </c>
      <c r="AZ2" t="e">
        <f>AND(ESP.!H24,"AAAAAH/3UzM=")</f>
        <v>#VALUE!</v>
      </c>
      <c r="BA2" t="e">
        <f>AND(ESP.!I24,"AAAAAH/3UzQ=")</f>
        <v>#VALUE!</v>
      </c>
      <c r="BB2" t="e">
        <f>AND(ESP.!J24,"AAAAAH/3UzU=")</f>
        <v>#VALUE!</v>
      </c>
      <c r="BC2" t="e">
        <f>AND(ESP.!K24,"AAAAAH/3UzY=")</f>
        <v>#VALUE!</v>
      </c>
      <c r="BD2" t="e">
        <f>AND(ESP.!L24,"AAAAAH/3Uzc=")</f>
        <v>#VALUE!</v>
      </c>
      <c r="BE2">
        <f>IF(ESP.!25:25,"AAAAAH/3Uzg=",0)</f>
        <v>0</v>
      </c>
      <c r="BF2" t="e">
        <f>AND(ESP.!A25,"AAAAAH/3Uzk=")</f>
        <v>#VALUE!</v>
      </c>
      <c r="BG2" t="e">
        <f>AND(ESP.!B25,"AAAAAH/3Uzo=")</f>
        <v>#VALUE!</v>
      </c>
      <c r="BH2" t="e">
        <f>AND(ESP.!C25,"AAAAAH/3Uzs=")</f>
        <v>#VALUE!</v>
      </c>
      <c r="BI2" t="e">
        <f>AND(ESP.!D25,"AAAAAH/3Uzw=")</f>
        <v>#VALUE!</v>
      </c>
      <c r="BJ2" t="e">
        <f>AND(ESP.!E25,"AAAAAH/3Uz0=")</f>
        <v>#VALUE!</v>
      </c>
      <c r="BK2" t="e">
        <f>AND(ESP.!F25,"AAAAAH/3Uz4=")</f>
        <v>#VALUE!</v>
      </c>
      <c r="BL2" t="e">
        <f>AND(ESP.!G25,"AAAAAH/3Uz8=")</f>
        <v>#VALUE!</v>
      </c>
      <c r="BM2" t="e">
        <f>AND(ESP.!H25,"AAAAAH/3U0A=")</f>
        <v>#VALUE!</v>
      </c>
      <c r="BN2" t="e">
        <f>AND(ESP.!I25,"AAAAAH/3U0E=")</f>
        <v>#VALUE!</v>
      </c>
      <c r="BO2" t="e">
        <f>AND(ESP.!J25,"AAAAAH/3U0I=")</f>
        <v>#VALUE!</v>
      </c>
      <c r="BP2" t="e">
        <f>AND(ESP.!K25,"AAAAAH/3U0M=")</f>
        <v>#VALUE!</v>
      </c>
      <c r="BQ2" t="e">
        <f>AND(ESP.!L25,"AAAAAH/3U0Q=")</f>
        <v>#VALUE!</v>
      </c>
      <c r="BR2">
        <f>IF(ESP.!26:26,"AAAAAH/3U0U=",0)</f>
        <v>0</v>
      </c>
      <c r="BS2" t="e">
        <f>AND(ESP.!A26,"AAAAAH/3U0Y=")</f>
        <v>#VALUE!</v>
      </c>
      <c r="BT2" t="e">
        <f>AND(ESP.!B26,"AAAAAH/3U0c=")</f>
        <v>#VALUE!</v>
      </c>
      <c r="BU2" t="e">
        <f>AND(ESP.!C26,"AAAAAH/3U0g=")</f>
        <v>#VALUE!</v>
      </c>
      <c r="BV2" t="e">
        <f>AND(ESP.!D26,"AAAAAH/3U0k=")</f>
        <v>#VALUE!</v>
      </c>
      <c r="BW2" t="e">
        <f>AND(ESP.!E26,"AAAAAH/3U0o=")</f>
        <v>#VALUE!</v>
      </c>
      <c r="BX2" t="e">
        <f>AND(ESP.!F26,"AAAAAH/3U0s=")</f>
        <v>#VALUE!</v>
      </c>
      <c r="BY2" t="e">
        <f>AND(ESP.!G26,"AAAAAH/3U0w=")</f>
        <v>#VALUE!</v>
      </c>
      <c r="BZ2" t="e">
        <f>AND(ESP.!H26,"AAAAAH/3U00=")</f>
        <v>#VALUE!</v>
      </c>
      <c r="CA2" t="e">
        <f>AND(ESP.!I26,"AAAAAH/3U04=")</f>
        <v>#VALUE!</v>
      </c>
      <c r="CB2" t="e">
        <f>AND(ESP.!J26,"AAAAAH/3U08=")</f>
        <v>#VALUE!</v>
      </c>
      <c r="CC2" t="e">
        <f>AND(ESP.!K26,"AAAAAH/3U1A=")</f>
        <v>#VALUE!</v>
      </c>
      <c r="CD2" t="e">
        <f>AND(ESP.!L26,"AAAAAH/3U1E=")</f>
        <v>#VALUE!</v>
      </c>
      <c r="CE2">
        <f>IF(ESP.!27:27,"AAAAAH/3U1I=",0)</f>
        <v>0</v>
      </c>
      <c r="CF2" t="e">
        <f>AND(ESP.!A27,"AAAAAH/3U1M=")</f>
        <v>#VALUE!</v>
      </c>
      <c r="CG2" t="e">
        <f>AND(ESP.!B27,"AAAAAH/3U1Q=")</f>
        <v>#VALUE!</v>
      </c>
      <c r="CH2" t="e">
        <f>AND(ESP.!C27,"AAAAAH/3U1U=")</f>
        <v>#VALUE!</v>
      </c>
      <c r="CI2" t="e">
        <f>AND(ESP.!D27,"AAAAAH/3U1Y=")</f>
        <v>#VALUE!</v>
      </c>
      <c r="CJ2" t="e">
        <f>AND(ESP.!E27,"AAAAAH/3U1c=")</f>
        <v>#VALUE!</v>
      </c>
      <c r="CK2" t="e">
        <f>AND(ESP.!F27,"AAAAAH/3U1g=")</f>
        <v>#VALUE!</v>
      </c>
      <c r="CL2" t="e">
        <f>AND(ESP.!G27,"AAAAAH/3U1k=")</f>
        <v>#VALUE!</v>
      </c>
      <c r="CM2" t="e">
        <f>AND(ESP.!H27,"AAAAAH/3U1o=")</f>
        <v>#VALUE!</v>
      </c>
      <c r="CN2" t="e">
        <f>AND(ESP.!I27,"AAAAAH/3U1s=")</f>
        <v>#VALUE!</v>
      </c>
      <c r="CO2" t="e">
        <f>AND(ESP.!J27,"AAAAAH/3U1w=")</f>
        <v>#VALUE!</v>
      </c>
      <c r="CP2" t="e">
        <f>AND(ESP.!K27,"AAAAAH/3U10=")</f>
        <v>#VALUE!</v>
      </c>
      <c r="CQ2" t="e">
        <f>AND(ESP.!L27,"AAAAAH/3U14=")</f>
        <v>#VALUE!</v>
      </c>
      <c r="CR2">
        <f>IF(ESP.!28:28,"AAAAAH/3U18=",0)</f>
        <v>0</v>
      </c>
      <c r="CS2" t="e">
        <f>AND(ESP.!A28,"AAAAAH/3U2A=")</f>
        <v>#VALUE!</v>
      </c>
      <c r="CT2" t="e">
        <f>AND(ESP.!B28,"AAAAAH/3U2E=")</f>
        <v>#VALUE!</v>
      </c>
      <c r="CU2" t="e">
        <f>AND(ESP.!C28,"AAAAAH/3U2I=")</f>
        <v>#VALUE!</v>
      </c>
      <c r="CV2" t="e">
        <f>AND(ESP.!D28,"AAAAAH/3U2M=")</f>
        <v>#VALUE!</v>
      </c>
      <c r="CW2" t="e">
        <f>AND(ESP.!E28,"AAAAAH/3U2Q=")</f>
        <v>#VALUE!</v>
      </c>
      <c r="CX2" t="e">
        <f>AND(ESP.!F28,"AAAAAH/3U2U=")</f>
        <v>#VALUE!</v>
      </c>
      <c r="CY2" t="e">
        <f>AND(ESP.!G28,"AAAAAH/3U2Y=")</f>
        <v>#VALUE!</v>
      </c>
      <c r="CZ2" t="e">
        <f>AND(ESP.!H28,"AAAAAH/3U2c=")</f>
        <v>#VALUE!</v>
      </c>
      <c r="DA2" t="e">
        <f>AND(ESP.!I28,"AAAAAH/3U2g=")</f>
        <v>#VALUE!</v>
      </c>
      <c r="DB2" t="e">
        <f>AND(ESP.!J28,"AAAAAH/3U2k=")</f>
        <v>#VALUE!</v>
      </c>
      <c r="DC2" t="e">
        <f>AND(ESP.!K28,"AAAAAH/3U2o=")</f>
        <v>#VALUE!</v>
      </c>
      <c r="DD2" t="e">
        <f>AND(ESP.!L28,"AAAAAH/3U2s=")</f>
        <v>#VALUE!</v>
      </c>
      <c r="DE2">
        <f>IF(ESP.!29:29,"AAAAAH/3U2w=",0)</f>
        <v>0</v>
      </c>
      <c r="DF2" t="e">
        <f>AND(ESP.!A29,"AAAAAH/3U20=")</f>
        <v>#VALUE!</v>
      </c>
      <c r="DG2" t="e">
        <f>AND(ESP.!B29,"AAAAAH/3U24=")</f>
        <v>#VALUE!</v>
      </c>
      <c r="DH2" t="e">
        <f>AND(ESP.!C29,"AAAAAH/3U28=")</f>
        <v>#VALUE!</v>
      </c>
      <c r="DI2" t="e">
        <f>AND(ESP.!D29,"AAAAAH/3U3A=")</f>
        <v>#VALUE!</v>
      </c>
      <c r="DJ2" t="e">
        <f>AND(ESP.!E29,"AAAAAH/3U3E=")</f>
        <v>#VALUE!</v>
      </c>
      <c r="DK2" t="e">
        <f>AND(ESP.!F29,"AAAAAH/3U3I=")</f>
        <v>#VALUE!</v>
      </c>
      <c r="DL2" t="e">
        <f>AND(ESP.!G29,"AAAAAH/3U3M=")</f>
        <v>#VALUE!</v>
      </c>
      <c r="DM2" t="e">
        <f>AND(ESP.!H29,"AAAAAH/3U3Q=")</f>
        <v>#VALUE!</v>
      </c>
      <c r="DN2" t="e">
        <f>AND(ESP.!I29,"AAAAAH/3U3U=")</f>
        <v>#VALUE!</v>
      </c>
      <c r="DO2" t="e">
        <f>AND(ESP.!J29,"AAAAAH/3U3Y=")</f>
        <v>#VALUE!</v>
      </c>
      <c r="DP2" t="e">
        <f>AND(ESP.!K29,"AAAAAH/3U3c=")</f>
        <v>#VALUE!</v>
      </c>
      <c r="DQ2" t="e">
        <f>AND(ESP.!L29,"AAAAAH/3U3g=")</f>
        <v>#VALUE!</v>
      </c>
      <c r="DR2">
        <f>IF(ESP.!30:30,"AAAAAH/3U3k=",0)</f>
        <v>0</v>
      </c>
      <c r="DS2" t="e">
        <f>AND(ESP.!A30,"AAAAAH/3U3o=")</f>
        <v>#VALUE!</v>
      </c>
      <c r="DT2" t="e">
        <f>AND(ESP.!B30,"AAAAAH/3U3s=")</f>
        <v>#VALUE!</v>
      </c>
      <c r="DU2" t="e">
        <f>AND(ESP.!C30,"AAAAAH/3U3w=")</f>
        <v>#VALUE!</v>
      </c>
      <c r="DV2" t="e">
        <f>AND(ESP.!D30,"AAAAAH/3U30=")</f>
        <v>#VALUE!</v>
      </c>
      <c r="DW2" t="e">
        <f>AND(ESP.!E30,"AAAAAH/3U34=")</f>
        <v>#VALUE!</v>
      </c>
      <c r="DX2" t="e">
        <f>AND(ESP.!F30,"AAAAAH/3U38=")</f>
        <v>#VALUE!</v>
      </c>
      <c r="DY2" t="e">
        <f>AND(ESP.!G30,"AAAAAH/3U4A=")</f>
        <v>#VALUE!</v>
      </c>
      <c r="DZ2" t="e">
        <f>AND(ESP.!H30,"AAAAAH/3U4E=")</f>
        <v>#VALUE!</v>
      </c>
      <c r="EA2" t="e">
        <f>AND(ESP.!I30,"AAAAAH/3U4I=")</f>
        <v>#VALUE!</v>
      </c>
      <c r="EB2" t="e">
        <f>AND(ESP.!J30,"AAAAAH/3U4M=")</f>
        <v>#VALUE!</v>
      </c>
      <c r="EC2" t="e">
        <f>AND(ESP.!K30,"AAAAAH/3U4Q=")</f>
        <v>#VALUE!</v>
      </c>
      <c r="ED2" t="e">
        <f>AND(ESP.!L30,"AAAAAH/3U4U=")</f>
        <v>#VALUE!</v>
      </c>
      <c r="EE2">
        <f>IF(ESP.!31:31,"AAAAAH/3U4Y=",0)</f>
        <v>0</v>
      </c>
      <c r="EF2" t="e">
        <f>AND(ESP.!A31,"AAAAAH/3U4c=")</f>
        <v>#VALUE!</v>
      </c>
      <c r="EG2" t="e">
        <f>AND(ESP.!B31,"AAAAAH/3U4g=")</f>
        <v>#VALUE!</v>
      </c>
      <c r="EH2" t="e">
        <f>AND(ESP.!C31,"AAAAAH/3U4k=")</f>
        <v>#VALUE!</v>
      </c>
      <c r="EI2" t="e">
        <f>AND(ESP.!D31,"AAAAAH/3U4o=")</f>
        <v>#VALUE!</v>
      </c>
      <c r="EJ2" t="e">
        <f>AND(ESP.!E31,"AAAAAH/3U4s=")</f>
        <v>#VALUE!</v>
      </c>
      <c r="EK2" t="e">
        <f>AND(ESP.!F31,"AAAAAH/3U4w=")</f>
        <v>#VALUE!</v>
      </c>
      <c r="EL2" t="e">
        <f>AND(ESP.!G31,"AAAAAH/3U40=")</f>
        <v>#VALUE!</v>
      </c>
      <c r="EM2" t="e">
        <f>AND(ESP.!H31,"AAAAAH/3U44=")</f>
        <v>#VALUE!</v>
      </c>
      <c r="EN2" t="e">
        <f>AND(ESP.!I31,"AAAAAH/3U48=")</f>
        <v>#VALUE!</v>
      </c>
      <c r="EO2" t="e">
        <f>AND(ESP.!J31,"AAAAAH/3U5A=")</f>
        <v>#VALUE!</v>
      </c>
      <c r="EP2" t="e">
        <f>AND(ESP.!K31,"AAAAAH/3U5E=")</f>
        <v>#VALUE!</v>
      </c>
      <c r="EQ2" t="e">
        <f>AND(ESP.!L31,"AAAAAH/3U5I=")</f>
        <v>#VALUE!</v>
      </c>
      <c r="ER2">
        <f>IF(ESP.!32:32,"AAAAAH/3U5M=",0)</f>
        <v>0</v>
      </c>
      <c r="ES2" t="e">
        <f>AND(ESP.!A32,"AAAAAH/3U5Q=")</f>
        <v>#VALUE!</v>
      </c>
      <c r="ET2" t="e">
        <f>AND(ESP.!B32,"AAAAAH/3U5U=")</f>
        <v>#VALUE!</v>
      </c>
      <c r="EU2" t="e">
        <f>AND(ESP.!C32,"AAAAAH/3U5Y=")</f>
        <v>#VALUE!</v>
      </c>
      <c r="EV2" t="e">
        <f>AND(ESP.!D32,"AAAAAH/3U5c=")</f>
        <v>#VALUE!</v>
      </c>
      <c r="EW2" t="e">
        <f>AND(ESP.!E32,"AAAAAH/3U5g=")</f>
        <v>#VALUE!</v>
      </c>
      <c r="EX2" t="e">
        <f>AND(ESP.!F32,"AAAAAH/3U5k=")</f>
        <v>#VALUE!</v>
      </c>
      <c r="EY2" t="e">
        <f>AND(ESP.!G32,"AAAAAH/3U5o=")</f>
        <v>#VALUE!</v>
      </c>
      <c r="EZ2" t="e">
        <f>AND(ESP.!H32,"AAAAAH/3U5s=")</f>
        <v>#VALUE!</v>
      </c>
      <c r="FA2" t="e">
        <f>AND(ESP.!I32,"AAAAAH/3U5w=")</f>
        <v>#VALUE!</v>
      </c>
      <c r="FB2" t="e">
        <f>AND(ESP.!J32,"AAAAAH/3U50=")</f>
        <v>#VALUE!</v>
      </c>
      <c r="FC2" t="e">
        <f>AND(ESP.!K32,"AAAAAH/3U54=")</f>
        <v>#VALUE!</v>
      </c>
      <c r="FD2" t="e">
        <f>AND(ESP.!L32,"AAAAAH/3U58=")</f>
        <v>#VALUE!</v>
      </c>
      <c r="FE2">
        <f>IF(ESP.!33:33,"AAAAAH/3U6A=",0)</f>
        <v>0</v>
      </c>
      <c r="FF2" t="e">
        <f>AND(ESP.!A33,"AAAAAH/3U6E=")</f>
        <v>#VALUE!</v>
      </c>
      <c r="FG2" t="e">
        <f>AND(ESP.!B33,"AAAAAH/3U6I=")</f>
        <v>#VALUE!</v>
      </c>
      <c r="FH2" t="e">
        <f>AND(ESP.!C33,"AAAAAH/3U6M=")</f>
        <v>#VALUE!</v>
      </c>
      <c r="FI2" t="e">
        <f>AND(ESP.!D33,"AAAAAH/3U6Q=")</f>
        <v>#VALUE!</v>
      </c>
      <c r="FJ2" t="e">
        <f>AND(ESP.!E33,"AAAAAH/3U6U=")</f>
        <v>#VALUE!</v>
      </c>
      <c r="FK2" t="e">
        <f>AND(ESP.!F33,"AAAAAH/3U6Y=")</f>
        <v>#VALUE!</v>
      </c>
      <c r="FL2" t="e">
        <f>AND(ESP.!G33,"AAAAAH/3U6c=")</f>
        <v>#VALUE!</v>
      </c>
      <c r="FM2" t="e">
        <f>AND(ESP.!H33,"AAAAAH/3U6g=")</f>
        <v>#VALUE!</v>
      </c>
      <c r="FN2" t="e">
        <f>AND(ESP.!I33,"AAAAAH/3U6k=")</f>
        <v>#VALUE!</v>
      </c>
      <c r="FO2" t="e">
        <f>AND(ESP.!J33,"AAAAAH/3U6o=")</f>
        <v>#VALUE!</v>
      </c>
      <c r="FP2" t="e">
        <f>AND(ESP.!K33,"AAAAAH/3U6s=")</f>
        <v>#VALUE!</v>
      </c>
      <c r="FQ2" t="e">
        <f>AND(ESP.!L33,"AAAAAH/3U6w=")</f>
        <v>#VALUE!</v>
      </c>
      <c r="FR2">
        <f>IF(ESP.!34:34,"AAAAAH/3U60=",0)</f>
        <v>0</v>
      </c>
      <c r="FS2" t="e">
        <f>AND(ESP.!A34,"AAAAAH/3U64=")</f>
        <v>#VALUE!</v>
      </c>
      <c r="FT2" t="e">
        <f>AND(ESP.!B34,"AAAAAH/3U68=")</f>
        <v>#VALUE!</v>
      </c>
      <c r="FU2" t="e">
        <f>AND(ESP.!C34,"AAAAAH/3U7A=")</f>
        <v>#VALUE!</v>
      </c>
      <c r="FV2" t="e">
        <f>AND(ESP.!D34,"AAAAAH/3U7E=")</f>
        <v>#VALUE!</v>
      </c>
      <c r="FW2" t="e">
        <f>AND(ESP.!E34,"AAAAAH/3U7I=")</f>
        <v>#VALUE!</v>
      </c>
      <c r="FX2" t="e">
        <f>AND(ESP.!F34,"AAAAAH/3U7M=")</f>
        <v>#VALUE!</v>
      </c>
      <c r="FY2" t="e">
        <f>AND(ESP.!G34,"AAAAAH/3U7Q=")</f>
        <v>#VALUE!</v>
      </c>
      <c r="FZ2" t="e">
        <f>AND(ESP.!H34,"AAAAAH/3U7U=")</f>
        <v>#VALUE!</v>
      </c>
      <c r="GA2" t="e">
        <f>AND(ESP.!I34,"AAAAAH/3U7Y=")</f>
        <v>#VALUE!</v>
      </c>
      <c r="GB2" t="e">
        <f>AND(ESP.!J34,"AAAAAH/3U7c=")</f>
        <v>#VALUE!</v>
      </c>
      <c r="GC2" t="e">
        <f>AND(ESP.!K34,"AAAAAH/3U7g=")</f>
        <v>#VALUE!</v>
      </c>
      <c r="GD2" t="e">
        <f>AND(ESP.!L34,"AAAAAH/3U7k=")</f>
        <v>#VALUE!</v>
      </c>
      <c r="GE2">
        <f>IF(ESP.!35:35,"AAAAAH/3U7o=",0)</f>
        <v>0</v>
      </c>
      <c r="GF2" t="e">
        <f>AND(ESP.!A35,"AAAAAH/3U7s=")</f>
        <v>#VALUE!</v>
      </c>
      <c r="GG2" t="e">
        <f>AND(ESP.!B35,"AAAAAH/3U7w=")</f>
        <v>#VALUE!</v>
      </c>
      <c r="GH2" t="e">
        <f>AND(ESP.!C35,"AAAAAH/3U70=")</f>
        <v>#VALUE!</v>
      </c>
      <c r="GI2" t="e">
        <f>AND(ESP.!D35,"AAAAAH/3U74=")</f>
        <v>#VALUE!</v>
      </c>
      <c r="GJ2" t="e">
        <f>AND(ESP.!E35,"AAAAAH/3U78=")</f>
        <v>#VALUE!</v>
      </c>
      <c r="GK2" t="e">
        <f>AND(ESP.!F35,"AAAAAH/3U8A=")</f>
        <v>#VALUE!</v>
      </c>
      <c r="GL2" t="e">
        <f>AND(ESP.!G35,"AAAAAH/3U8E=")</f>
        <v>#VALUE!</v>
      </c>
      <c r="GM2" t="e">
        <f>AND(ESP.!H35,"AAAAAH/3U8I=")</f>
        <v>#VALUE!</v>
      </c>
      <c r="GN2" t="e">
        <f>AND(ESP.!I35,"AAAAAH/3U8M=")</f>
        <v>#VALUE!</v>
      </c>
      <c r="GO2" t="e">
        <f>AND(ESP.!J35,"AAAAAH/3U8Q=")</f>
        <v>#VALUE!</v>
      </c>
      <c r="GP2" t="e">
        <f>AND(ESP.!K35,"AAAAAH/3U8U=")</f>
        <v>#VALUE!</v>
      </c>
      <c r="GQ2" t="e">
        <f>AND(ESP.!L35,"AAAAAH/3U8Y=")</f>
        <v>#VALUE!</v>
      </c>
      <c r="GR2">
        <f>IF(ESP.!36:36,"AAAAAH/3U8c=",0)</f>
        <v>0</v>
      </c>
      <c r="GS2" t="e">
        <f>AND(ESP.!A36,"AAAAAH/3U8g=")</f>
        <v>#VALUE!</v>
      </c>
      <c r="GT2" t="e">
        <f>AND(ESP.!B36,"AAAAAH/3U8k=")</f>
        <v>#VALUE!</v>
      </c>
      <c r="GU2" t="e">
        <f>AND(ESP.!C36,"AAAAAH/3U8o=")</f>
        <v>#VALUE!</v>
      </c>
      <c r="GV2" t="e">
        <f>AND(ESP.!D36,"AAAAAH/3U8s=")</f>
        <v>#VALUE!</v>
      </c>
      <c r="GW2" t="e">
        <f>AND(ESP.!E36,"AAAAAH/3U8w=")</f>
        <v>#VALUE!</v>
      </c>
      <c r="GX2" t="e">
        <f>AND(ESP.!F36,"AAAAAH/3U80=")</f>
        <v>#VALUE!</v>
      </c>
      <c r="GY2" t="e">
        <f>AND(ESP.!G36,"AAAAAH/3U84=")</f>
        <v>#VALUE!</v>
      </c>
      <c r="GZ2" t="e">
        <f>AND(ESP.!H36,"AAAAAH/3U88=")</f>
        <v>#VALUE!</v>
      </c>
      <c r="HA2" t="e">
        <f>AND(ESP.!I36,"AAAAAH/3U9A=")</f>
        <v>#VALUE!</v>
      </c>
      <c r="HB2" t="e">
        <f>AND(ESP.!J36,"AAAAAH/3U9E=")</f>
        <v>#VALUE!</v>
      </c>
      <c r="HC2" t="e">
        <f>AND(ESP.!K36,"AAAAAH/3U9I=")</f>
        <v>#VALUE!</v>
      </c>
      <c r="HD2" t="e">
        <f>AND(ESP.!L36,"AAAAAH/3U9M=")</f>
        <v>#VALUE!</v>
      </c>
      <c r="HE2">
        <f>IF(ESP.!37:37,"AAAAAH/3U9Q=",0)</f>
        <v>0</v>
      </c>
      <c r="HF2" t="e">
        <f>AND(ESP.!A37,"AAAAAH/3U9U=")</f>
        <v>#VALUE!</v>
      </c>
      <c r="HG2" t="e">
        <f>AND(ESP.!B37,"AAAAAH/3U9Y=")</f>
        <v>#VALUE!</v>
      </c>
      <c r="HH2" t="e">
        <f>AND(ESP.!C37,"AAAAAH/3U9c=")</f>
        <v>#VALUE!</v>
      </c>
      <c r="HI2" t="e">
        <f>AND(ESP.!D37,"AAAAAH/3U9g=")</f>
        <v>#VALUE!</v>
      </c>
      <c r="HJ2" t="e">
        <f>AND(ESP.!E37,"AAAAAH/3U9k=")</f>
        <v>#VALUE!</v>
      </c>
      <c r="HK2" t="e">
        <f>AND(ESP.!F37,"AAAAAH/3U9o=")</f>
        <v>#VALUE!</v>
      </c>
      <c r="HL2" t="e">
        <f>AND(ESP.!G37,"AAAAAH/3U9s=")</f>
        <v>#VALUE!</v>
      </c>
      <c r="HM2" t="e">
        <f>AND(ESP.!H37,"AAAAAH/3U9w=")</f>
        <v>#VALUE!</v>
      </c>
      <c r="HN2" t="e">
        <f>AND(ESP.!I37,"AAAAAH/3U90=")</f>
        <v>#VALUE!</v>
      </c>
      <c r="HO2" t="e">
        <f>AND(ESP.!J37,"AAAAAH/3U94=")</f>
        <v>#VALUE!</v>
      </c>
      <c r="HP2" t="e">
        <f>AND(ESP.!K37,"AAAAAH/3U98=")</f>
        <v>#VALUE!</v>
      </c>
      <c r="HQ2" t="e">
        <f>AND(ESP.!L37,"AAAAAH/3U+A=")</f>
        <v>#VALUE!</v>
      </c>
      <c r="HR2">
        <f>IF(ESP.!38:38,"AAAAAH/3U+E=",0)</f>
        <v>0</v>
      </c>
      <c r="HS2" t="e">
        <f>AND(ESP.!A38,"AAAAAH/3U+I=")</f>
        <v>#VALUE!</v>
      </c>
      <c r="HT2" t="e">
        <f>AND(ESP.!B38,"AAAAAH/3U+M=")</f>
        <v>#VALUE!</v>
      </c>
      <c r="HU2" t="e">
        <f>AND(ESP.!C38,"AAAAAH/3U+Q=")</f>
        <v>#VALUE!</v>
      </c>
      <c r="HV2" t="e">
        <f>AND(ESP.!D38,"AAAAAH/3U+U=")</f>
        <v>#VALUE!</v>
      </c>
      <c r="HW2" t="e">
        <f>AND(ESP.!E38,"AAAAAH/3U+Y=")</f>
        <v>#VALUE!</v>
      </c>
      <c r="HX2" t="e">
        <f>AND(ESP.!F38,"AAAAAH/3U+c=")</f>
        <v>#VALUE!</v>
      </c>
      <c r="HY2" t="e">
        <f>AND(ESP.!G38,"AAAAAH/3U+g=")</f>
        <v>#VALUE!</v>
      </c>
      <c r="HZ2" t="e">
        <f>AND(ESP.!H38,"AAAAAH/3U+k=")</f>
        <v>#VALUE!</v>
      </c>
      <c r="IA2" t="e">
        <f>AND(ESP.!I38,"AAAAAH/3U+o=")</f>
        <v>#VALUE!</v>
      </c>
      <c r="IB2" t="e">
        <f>AND(ESP.!J38,"AAAAAH/3U+s=")</f>
        <v>#VALUE!</v>
      </c>
      <c r="IC2" t="e">
        <f>AND(ESP.!K38,"AAAAAH/3U+w=")</f>
        <v>#VALUE!</v>
      </c>
      <c r="ID2" t="e">
        <f>AND(ESP.!L38,"AAAAAH/3U+0=")</f>
        <v>#VALUE!</v>
      </c>
      <c r="IE2">
        <f>IF(ESP.!39:39,"AAAAAH/3U+4=",0)</f>
        <v>0</v>
      </c>
      <c r="IF2" t="e">
        <f>AND(ESP.!A39,"AAAAAH/3U+8=")</f>
        <v>#VALUE!</v>
      </c>
      <c r="IG2" t="e">
        <f>AND(ESP.!B39,"AAAAAH/3U/A=")</f>
        <v>#VALUE!</v>
      </c>
      <c r="IH2" t="e">
        <f>AND(ESP.!C39,"AAAAAH/3U/E=")</f>
        <v>#VALUE!</v>
      </c>
      <c r="II2" t="e">
        <f>AND(ESP.!D39,"AAAAAH/3U/I=")</f>
        <v>#VALUE!</v>
      </c>
      <c r="IJ2" t="e">
        <f>AND(ESP.!E39,"AAAAAH/3U/M=")</f>
        <v>#VALUE!</v>
      </c>
      <c r="IK2" t="e">
        <f>AND(ESP.!F39,"AAAAAH/3U/Q=")</f>
        <v>#VALUE!</v>
      </c>
      <c r="IL2" t="e">
        <f>AND(ESP.!G39,"AAAAAH/3U/U=")</f>
        <v>#VALUE!</v>
      </c>
      <c r="IM2" t="e">
        <f>AND(ESP.!H39,"AAAAAH/3U/Y=")</f>
        <v>#VALUE!</v>
      </c>
      <c r="IN2" t="e">
        <f>AND(ESP.!I39,"AAAAAH/3U/c=")</f>
        <v>#VALUE!</v>
      </c>
      <c r="IO2" t="e">
        <f>AND(ESP.!J39,"AAAAAH/3U/g=")</f>
        <v>#VALUE!</v>
      </c>
      <c r="IP2" t="e">
        <f>AND(ESP.!K39,"AAAAAH/3U/k=")</f>
        <v>#VALUE!</v>
      </c>
      <c r="IQ2" t="e">
        <f>AND(ESP.!L39,"AAAAAH/3U/o=")</f>
        <v>#VALUE!</v>
      </c>
      <c r="IR2">
        <f>IF(ESP.!40:40,"AAAAAH/3U/s=",0)</f>
        <v>0</v>
      </c>
      <c r="IS2" t="e">
        <f>AND(ESP.!A40,"AAAAAH/3U/w=")</f>
        <v>#VALUE!</v>
      </c>
      <c r="IT2" t="e">
        <f>AND(ESP.!B40,"AAAAAH/3U/0=")</f>
        <v>#VALUE!</v>
      </c>
      <c r="IU2" t="e">
        <f>AND(ESP.!C40,"AAAAAH/3U/4=")</f>
        <v>#VALUE!</v>
      </c>
      <c r="IV2" t="e">
        <f>AND(ESP.!D40,"AAAAAH/3U/8=")</f>
        <v>#VALUE!</v>
      </c>
    </row>
    <row r="3" spans="1:256">
      <c r="A3" t="e">
        <f>AND(ESP.!E40,"AAAAADFr3wA=")</f>
        <v>#VALUE!</v>
      </c>
      <c r="B3" t="e">
        <f>AND(ESP.!F40,"AAAAADFr3wE=")</f>
        <v>#VALUE!</v>
      </c>
      <c r="C3" t="e">
        <f>AND(ESP.!G40,"AAAAADFr3wI=")</f>
        <v>#VALUE!</v>
      </c>
      <c r="D3" t="e">
        <f>AND(ESP.!H40,"AAAAADFr3wM=")</f>
        <v>#VALUE!</v>
      </c>
      <c r="E3" t="e">
        <f>AND(ESP.!I40,"AAAAADFr3wQ=")</f>
        <v>#VALUE!</v>
      </c>
      <c r="F3" t="e">
        <f>AND(ESP.!J40,"AAAAADFr3wU=")</f>
        <v>#VALUE!</v>
      </c>
      <c r="G3" t="e">
        <f>AND(ESP.!K40,"AAAAADFr3wY=")</f>
        <v>#VALUE!</v>
      </c>
      <c r="H3" t="e">
        <f>AND(ESP.!L40,"AAAAADFr3wc=")</f>
        <v>#VALUE!</v>
      </c>
      <c r="I3">
        <f>IF(ESP.!41:41,"AAAAADFr3wg=",0)</f>
        <v>0</v>
      </c>
      <c r="J3" t="e">
        <f>AND(ESP.!A41,"AAAAADFr3wk=")</f>
        <v>#VALUE!</v>
      </c>
      <c r="K3" t="e">
        <f>AND(ESP.!B41,"AAAAADFr3wo=")</f>
        <v>#VALUE!</v>
      </c>
      <c r="L3" t="e">
        <f>AND(ESP.!C41,"AAAAADFr3ws=")</f>
        <v>#VALUE!</v>
      </c>
      <c r="M3" t="e">
        <f>AND(ESP.!D41,"AAAAADFr3ww=")</f>
        <v>#VALUE!</v>
      </c>
      <c r="N3" t="e">
        <f>AND(ESP.!E41,"AAAAADFr3w0=")</f>
        <v>#VALUE!</v>
      </c>
      <c r="O3" t="e">
        <f>AND(ESP.!F41,"AAAAADFr3w4=")</f>
        <v>#VALUE!</v>
      </c>
      <c r="P3" t="e">
        <f>AND(ESP.!G41,"AAAAADFr3w8=")</f>
        <v>#VALUE!</v>
      </c>
      <c r="Q3" t="e">
        <f>AND(ESP.!H41,"AAAAADFr3xA=")</f>
        <v>#VALUE!</v>
      </c>
      <c r="R3" t="e">
        <f>AND(ESP.!I41,"AAAAADFr3xE=")</f>
        <v>#VALUE!</v>
      </c>
      <c r="S3" t="e">
        <f>AND(ESP.!J41,"AAAAADFr3xI=")</f>
        <v>#VALUE!</v>
      </c>
      <c r="T3" t="e">
        <f>AND(ESP.!K41,"AAAAADFr3xM=")</f>
        <v>#VALUE!</v>
      </c>
      <c r="U3" t="e">
        <f>AND(ESP.!L41,"AAAAADFr3xQ=")</f>
        <v>#VALUE!</v>
      </c>
      <c r="V3">
        <f>IF(ESP.!42:42,"AAAAADFr3xU=",0)</f>
        <v>0</v>
      </c>
      <c r="W3" t="e">
        <f>AND(ESP.!A42,"AAAAADFr3xY=")</f>
        <v>#VALUE!</v>
      </c>
      <c r="X3" t="e">
        <f>AND(ESP.!B42,"AAAAADFr3xc=")</f>
        <v>#VALUE!</v>
      </c>
      <c r="Y3" t="e">
        <f>AND(ESP.!C42,"AAAAADFr3xg=")</f>
        <v>#VALUE!</v>
      </c>
      <c r="Z3" t="e">
        <f>AND(ESP.!D42,"AAAAADFr3xk=")</f>
        <v>#VALUE!</v>
      </c>
      <c r="AA3" t="e">
        <f>AND(ESP.!E42,"AAAAADFr3xo=")</f>
        <v>#VALUE!</v>
      </c>
      <c r="AB3" t="e">
        <f>AND(ESP.!F42,"AAAAADFr3xs=")</f>
        <v>#VALUE!</v>
      </c>
      <c r="AC3" t="e">
        <f>AND(ESP.!G42,"AAAAADFr3xw=")</f>
        <v>#VALUE!</v>
      </c>
      <c r="AD3" t="e">
        <f>AND(ESP.!H42,"AAAAADFr3x0=")</f>
        <v>#VALUE!</v>
      </c>
      <c r="AE3" t="e">
        <f>AND(ESP.!I42,"AAAAADFr3x4=")</f>
        <v>#VALUE!</v>
      </c>
      <c r="AF3" t="e">
        <f>AND(ESP.!J42,"AAAAADFr3x8=")</f>
        <v>#VALUE!</v>
      </c>
      <c r="AG3" t="e">
        <f>AND(ESP.!K42,"AAAAADFr3yA=")</f>
        <v>#VALUE!</v>
      </c>
      <c r="AH3" t="e">
        <f>AND(ESP.!L42,"AAAAADFr3yE=")</f>
        <v>#VALUE!</v>
      </c>
      <c r="AI3">
        <f>IF(ESP.!43:43,"AAAAADFr3yI=",0)</f>
        <v>0</v>
      </c>
      <c r="AJ3" t="e">
        <f>AND(ESP.!A43,"AAAAADFr3yM=")</f>
        <v>#VALUE!</v>
      </c>
      <c r="AK3" t="e">
        <f>AND(ESP.!B43,"AAAAADFr3yQ=")</f>
        <v>#VALUE!</v>
      </c>
      <c r="AL3" t="e">
        <f>AND(ESP.!C43,"AAAAADFr3yU=")</f>
        <v>#VALUE!</v>
      </c>
      <c r="AM3" t="e">
        <f>AND(ESP.!D43,"AAAAADFr3yY=")</f>
        <v>#VALUE!</v>
      </c>
      <c r="AN3" t="e">
        <f>AND(ESP.!E43,"AAAAADFr3yc=")</f>
        <v>#VALUE!</v>
      </c>
      <c r="AO3" t="e">
        <f>AND(ESP.!F43,"AAAAADFr3yg=")</f>
        <v>#VALUE!</v>
      </c>
      <c r="AP3" t="e">
        <f>AND(ESP.!G43,"AAAAADFr3yk=")</f>
        <v>#VALUE!</v>
      </c>
      <c r="AQ3" t="e">
        <f>AND(ESP.!H43,"AAAAADFr3yo=")</f>
        <v>#VALUE!</v>
      </c>
      <c r="AR3" t="e">
        <f>AND(ESP.!I43,"AAAAADFr3ys=")</f>
        <v>#VALUE!</v>
      </c>
      <c r="AS3" t="e">
        <f>AND(ESP.!J43,"AAAAADFr3yw=")</f>
        <v>#VALUE!</v>
      </c>
      <c r="AT3" t="e">
        <f>AND(ESP.!K43,"AAAAADFr3y0=")</f>
        <v>#VALUE!</v>
      </c>
      <c r="AU3" t="e">
        <f>AND(ESP.!L43,"AAAAADFr3y4=")</f>
        <v>#VALUE!</v>
      </c>
      <c r="AV3" t="e">
        <f>IF(ESP.!A:A,"AAAAADFr3y8=",0)</f>
        <v>#VALUE!</v>
      </c>
      <c r="AW3">
        <f>IF(ESP.!B:B,"AAAAADFr3zA=",0)</f>
        <v>0</v>
      </c>
      <c r="AX3">
        <f>IF(ESP.!C:C,"AAAAADFr3zE=",0)</f>
        <v>0</v>
      </c>
      <c r="AY3" t="e">
        <f>IF(ESP.!D:D,"AAAAADFr3zI=",0)</f>
        <v>#VALUE!</v>
      </c>
      <c r="AZ3">
        <f>IF(ESP.!E:E,"AAAAADFr3zM=",0)</f>
        <v>0</v>
      </c>
      <c r="BA3">
        <f>IF(ESP.!F:F,"AAAAADFr3zQ=",0)</f>
        <v>0</v>
      </c>
      <c r="BB3">
        <f>IF(ESP.!G:G,"AAAAADFr3zU=",0)</f>
        <v>0</v>
      </c>
      <c r="BC3">
        <f>IF(ESP.!H:H,"AAAAADFr3zY=",0)</f>
        <v>0</v>
      </c>
      <c r="BD3">
        <f>IF(ESP.!I:I,"AAAAADFr3zc=",0)</f>
        <v>0</v>
      </c>
      <c r="BE3">
        <f>IF(ESP.!J:J,"AAAAADFr3zg=",0)</f>
        <v>0</v>
      </c>
      <c r="BF3">
        <f>IF(ESP.!K:K,"AAAAADFr3zk=",0)</f>
        <v>0</v>
      </c>
      <c r="BG3">
        <f>IF(ESP.!L:L,"AAAAADFr3zo=",0)</f>
        <v>0</v>
      </c>
      <c r="BH3">
        <f>IF(MAT.!1:1,"AAAAADFr3zs=",0)</f>
        <v>0</v>
      </c>
      <c r="BI3" t="e">
        <f>AND(MAT.!A1,"AAAAADFr3zw=")</f>
        <v>#VALUE!</v>
      </c>
      <c r="BJ3" t="e">
        <f>AND(MAT.!B1,"AAAAADFr3z0=")</f>
        <v>#VALUE!</v>
      </c>
      <c r="BK3" t="e">
        <f>AND(MAT.!C1,"AAAAADFr3z4=")</f>
        <v>#VALUE!</v>
      </c>
      <c r="BL3" t="e">
        <f>AND(MAT.!D1,"AAAAADFr3z8=")</f>
        <v>#VALUE!</v>
      </c>
      <c r="BM3" t="e">
        <f>AND(MAT.!E1,"AAAAADFr30A=")</f>
        <v>#VALUE!</v>
      </c>
      <c r="BN3" t="e">
        <f>AND(MAT.!F1,"AAAAADFr30E=")</f>
        <v>#VALUE!</v>
      </c>
      <c r="BO3" t="e">
        <f>AND(MAT.!G1,"AAAAADFr30I=")</f>
        <v>#VALUE!</v>
      </c>
      <c r="BP3" t="e">
        <f>AND(MAT.!H1,"AAAAADFr30M=")</f>
        <v>#VALUE!</v>
      </c>
      <c r="BQ3" t="e">
        <f>AND(MAT.!I1,"AAAAADFr30Q=")</f>
        <v>#VALUE!</v>
      </c>
      <c r="BR3" t="e">
        <f>AND(MAT.!J1,"AAAAADFr30U=")</f>
        <v>#VALUE!</v>
      </c>
      <c r="BS3" t="e">
        <f>AND(MAT.!K1,"AAAAADFr30Y=")</f>
        <v>#VALUE!</v>
      </c>
      <c r="BT3" t="e">
        <f>AND(MAT.!L1,"AAAAADFr30c=")</f>
        <v>#VALUE!</v>
      </c>
      <c r="BU3">
        <f>IF(MAT.!2:2,"AAAAADFr30g=",0)</f>
        <v>0</v>
      </c>
      <c r="BV3" t="e">
        <f>AND(MAT.!A2,"AAAAADFr30k=")</f>
        <v>#VALUE!</v>
      </c>
      <c r="BW3" t="e">
        <f>AND(MAT.!B2,"AAAAADFr30o=")</f>
        <v>#VALUE!</v>
      </c>
      <c r="BX3" t="e">
        <f>AND(MAT.!C2,"AAAAADFr30s=")</f>
        <v>#VALUE!</v>
      </c>
      <c r="BY3" t="e">
        <f>AND(MAT.!D2,"AAAAADFr30w=")</f>
        <v>#VALUE!</v>
      </c>
      <c r="BZ3" t="e">
        <f>AND(MAT.!E2,"AAAAADFr300=")</f>
        <v>#VALUE!</v>
      </c>
      <c r="CA3" t="e">
        <f>AND(MAT.!F2,"AAAAADFr304=")</f>
        <v>#VALUE!</v>
      </c>
      <c r="CB3" t="e">
        <f>AND(MAT.!G2,"AAAAADFr308=")</f>
        <v>#VALUE!</v>
      </c>
      <c r="CC3" t="e">
        <f>AND(MAT.!H2,"AAAAADFr31A=")</f>
        <v>#VALUE!</v>
      </c>
      <c r="CD3" t="e">
        <f>AND(MAT.!I2,"AAAAADFr31E=")</f>
        <v>#VALUE!</v>
      </c>
      <c r="CE3" t="e">
        <f>AND(MAT.!J2,"AAAAADFr31I=")</f>
        <v>#VALUE!</v>
      </c>
      <c r="CF3" t="e">
        <f>AND(MAT.!K2,"AAAAADFr31M=")</f>
        <v>#VALUE!</v>
      </c>
      <c r="CG3" t="e">
        <f>AND(MAT.!L2,"AAAAADFr31Q=")</f>
        <v>#VALUE!</v>
      </c>
      <c r="CH3">
        <f>IF(MAT.!3:3,"AAAAADFr31U=",0)</f>
        <v>0</v>
      </c>
      <c r="CI3" t="e">
        <f>AND(MAT.!A3,"AAAAADFr31Y=")</f>
        <v>#VALUE!</v>
      </c>
      <c r="CJ3" t="e">
        <f>AND(MAT.!B3,"AAAAADFr31c=")</f>
        <v>#VALUE!</v>
      </c>
      <c r="CK3" t="e">
        <f>AND(MAT.!C3,"AAAAADFr31g=")</f>
        <v>#VALUE!</v>
      </c>
      <c r="CL3" t="e">
        <f>AND(MAT.!D3,"AAAAADFr31k=")</f>
        <v>#VALUE!</v>
      </c>
      <c r="CM3" t="e">
        <f>AND(MAT.!E3,"AAAAADFr31o=")</f>
        <v>#VALUE!</v>
      </c>
      <c r="CN3" t="e">
        <f>AND(MAT.!F3,"AAAAADFr31s=")</f>
        <v>#VALUE!</v>
      </c>
      <c r="CO3" t="e">
        <f>AND(MAT.!G3,"AAAAADFr31w=")</f>
        <v>#VALUE!</v>
      </c>
      <c r="CP3" t="e">
        <f>AND(MAT.!H3,"AAAAADFr310=")</f>
        <v>#VALUE!</v>
      </c>
      <c r="CQ3" t="e">
        <f>AND(MAT.!I3,"AAAAADFr314=")</f>
        <v>#VALUE!</v>
      </c>
      <c r="CR3" t="e">
        <f>AND(MAT.!J3,"AAAAADFr318=")</f>
        <v>#VALUE!</v>
      </c>
      <c r="CS3" t="e">
        <f>AND(MAT.!K3,"AAAAADFr32A=")</f>
        <v>#VALUE!</v>
      </c>
      <c r="CT3" t="e">
        <f>AND(MAT.!L3,"AAAAADFr32E=")</f>
        <v>#VALUE!</v>
      </c>
      <c r="CU3">
        <f>IF(MAT.!4:4,"AAAAADFr32I=",0)</f>
        <v>0</v>
      </c>
      <c r="CV3" t="e">
        <f>AND(MAT.!A4,"AAAAADFr32M=")</f>
        <v>#VALUE!</v>
      </c>
      <c r="CW3" t="e">
        <f>AND(MAT.!B4,"AAAAADFr32Q=")</f>
        <v>#VALUE!</v>
      </c>
      <c r="CX3" t="e">
        <f>AND(MAT.!C4,"AAAAADFr32U=")</f>
        <v>#VALUE!</v>
      </c>
      <c r="CY3" t="e">
        <f>AND(MAT.!D4,"AAAAADFr32Y=")</f>
        <v>#VALUE!</v>
      </c>
      <c r="CZ3" t="e">
        <f>AND(MAT.!E4,"AAAAADFr32c=")</f>
        <v>#VALUE!</v>
      </c>
      <c r="DA3" t="e">
        <f>AND(MAT.!F4,"AAAAADFr32g=")</f>
        <v>#VALUE!</v>
      </c>
      <c r="DB3" t="e">
        <f>AND(MAT.!G4,"AAAAADFr32k=")</f>
        <v>#VALUE!</v>
      </c>
      <c r="DC3" t="e">
        <f>AND(MAT.!H4,"AAAAADFr32o=")</f>
        <v>#VALUE!</v>
      </c>
      <c r="DD3" t="e">
        <f>AND(MAT.!I4,"AAAAADFr32s=")</f>
        <v>#VALUE!</v>
      </c>
      <c r="DE3" t="e">
        <f>AND(MAT.!J4,"AAAAADFr32w=")</f>
        <v>#VALUE!</v>
      </c>
      <c r="DF3" t="e">
        <f>AND(MAT.!K4,"AAAAADFr320=")</f>
        <v>#VALUE!</v>
      </c>
      <c r="DG3" t="e">
        <f>AND(MAT.!L4,"AAAAADFr324=")</f>
        <v>#VALUE!</v>
      </c>
      <c r="DH3">
        <f>IF(MAT.!5:5,"AAAAADFr328=",0)</f>
        <v>0</v>
      </c>
      <c r="DI3" t="e">
        <f>AND(MAT.!A5,"AAAAADFr33A=")</f>
        <v>#VALUE!</v>
      </c>
      <c r="DJ3" t="e">
        <f>AND(MAT.!B5,"AAAAADFr33E=")</f>
        <v>#VALUE!</v>
      </c>
      <c r="DK3" t="e">
        <f>AND(MAT.!C5,"AAAAADFr33I=")</f>
        <v>#VALUE!</v>
      </c>
      <c r="DL3" t="e">
        <f>AND(MAT.!D5,"AAAAADFr33M=")</f>
        <v>#VALUE!</v>
      </c>
      <c r="DM3" t="e">
        <f>AND(MAT.!E5,"AAAAADFr33Q=")</f>
        <v>#VALUE!</v>
      </c>
      <c r="DN3" t="e">
        <f>AND(MAT.!F5,"AAAAADFr33U=")</f>
        <v>#VALUE!</v>
      </c>
      <c r="DO3" t="e">
        <f>AND(MAT.!G5,"AAAAADFr33Y=")</f>
        <v>#VALUE!</v>
      </c>
      <c r="DP3" t="e">
        <f>AND(MAT.!H5,"AAAAADFr33c=")</f>
        <v>#VALUE!</v>
      </c>
      <c r="DQ3" t="e">
        <f>AND(MAT.!I5,"AAAAADFr33g=")</f>
        <v>#VALUE!</v>
      </c>
      <c r="DR3" t="e">
        <f>AND(MAT.!J5,"AAAAADFr33k=")</f>
        <v>#VALUE!</v>
      </c>
      <c r="DS3" t="e">
        <f>AND(MAT.!K5,"AAAAADFr33o=")</f>
        <v>#VALUE!</v>
      </c>
      <c r="DT3" t="e">
        <f>AND(MAT.!L5,"AAAAADFr33s=")</f>
        <v>#VALUE!</v>
      </c>
      <c r="DU3">
        <f>IF(MAT.!6:6,"AAAAADFr33w=",0)</f>
        <v>0</v>
      </c>
      <c r="DV3" t="e">
        <f>AND(MAT.!A6,"AAAAADFr330=")</f>
        <v>#VALUE!</v>
      </c>
      <c r="DW3" t="e">
        <f>AND(MAT.!B6,"AAAAADFr334=")</f>
        <v>#VALUE!</v>
      </c>
      <c r="DX3" t="e">
        <f>AND(MAT.!C6,"AAAAADFr338=")</f>
        <v>#VALUE!</v>
      </c>
      <c r="DY3" t="e">
        <f>AND(MAT.!D6,"AAAAADFr34A=")</f>
        <v>#VALUE!</v>
      </c>
      <c r="DZ3" t="e">
        <f>AND(MAT.!E6,"AAAAADFr34E=")</f>
        <v>#VALUE!</v>
      </c>
      <c r="EA3" t="e">
        <f>AND(MAT.!F6,"AAAAADFr34I=")</f>
        <v>#VALUE!</v>
      </c>
      <c r="EB3" t="e">
        <f>AND(MAT.!G6,"AAAAADFr34M=")</f>
        <v>#VALUE!</v>
      </c>
      <c r="EC3" t="e">
        <f>AND(MAT.!H6,"AAAAADFr34Q=")</f>
        <v>#VALUE!</v>
      </c>
      <c r="ED3" t="e">
        <f>AND(MAT.!I6,"AAAAADFr34U=")</f>
        <v>#VALUE!</v>
      </c>
      <c r="EE3" t="e">
        <f>AND(MAT.!J6,"AAAAADFr34Y=")</f>
        <v>#VALUE!</v>
      </c>
      <c r="EF3" t="e">
        <f>AND(MAT.!K6,"AAAAADFr34c=")</f>
        <v>#VALUE!</v>
      </c>
      <c r="EG3" t="e">
        <f>AND(MAT.!L6,"AAAAADFr34g=")</f>
        <v>#VALUE!</v>
      </c>
      <c r="EH3">
        <f>IF(MAT.!7:7,"AAAAADFr34k=",0)</f>
        <v>0</v>
      </c>
      <c r="EI3" t="e">
        <f>AND(MAT.!A7,"AAAAADFr34o=")</f>
        <v>#VALUE!</v>
      </c>
      <c r="EJ3" t="e">
        <f>AND(MAT.!B7,"AAAAADFr34s=")</f>
        <v>#VALUE!</v>
      </c>
      <c r="EK3" t="e">
        <f>AND(MAT.!C7,"AAAAADFr34w=")</f>
        <v>#VALUE!</v>
      </c>
      <c r="EL3" t="e">
        <f>AND(MAT.!D7,"AAAAADFr340=")</f>
        <v>#VALUE!</v>
      </c>
      <c r="EM3" t="e">
        <f>AND(MAT.!E7,"AAAAADFr344=")</f>
        <v>#VALUE!</v>
      </c>
      <c r="EN3" t="e">
        <f>AND(MAT.!F7,"AAAAADFr348=")</f>
        <v>#VALUE!</v>
      </c>
      <c r="EO3" t="e">
        <f>AND(MAT.!G7,"AAAAADFr35A=")</f>
        <v>#VALUE!</v>
      </c>
      <c r="EP3" t="e">
        <f>AND(MAT.!H7,"AAAAADFr35E=")</f>
        <v>#VALUE!</v>
      </c>
      <c r="EQ3" t="e">
        <f>AND(MAT.!I7,"AAAAADFr35I=")</f>
        <v>#VALUE!</v>
      </c>
      <c r="ER3" t="e">
        <f>AND(MAT.!J7,"AAAAADFr35M=")</f>
        <v>#VALUE!</v>
      </c>
      <c r="ES3" t="e">
        <f>AND(MAT.!K7,"AAAAADFr35Q=")</f>
        <v>#VALUE!</v>
      </c>
      <c r="ET3" t="e">
        <f>AND(MAT.!L7,"AAAAADFr35U=")</f>
        <v>#VALUE!</v>
      </c>
      <c r="EU3">
        <f>IF(MAT.!8:8,"AAAAADFr35Y=",0)</f>
        <v>0</v>
      </c>
      <c r="EV3" t="e">
        <f>AND(MAT.!A8,"AAAAADFr35c=")</f>
        <v>#VALUE!</v>
      </c>
      <c r="EW3" t="e">
        <f>AND(MAT.!B8,"AAAAADFr35g=")</f>
        <v>#VALUE!</v>
      </c>
      <c r="EX3" t="e">
        <f>AND(MAT.!C8,"AAAAADFr35k=")</f>
        <v>#VALUE!</v>
      </c>
      <c r="EY3" t="e">
        <f>AND(MAT.!D8,"AAAAADFr35o=")</f>
        <v>#VALUE!</v>
      </c>
      <c r="EZ3" t="e">
        <f>AND(MAT.!E8,"AAAAADFr35s=")</f>
        <v>#VALUE!</v>
      </c>
      <c r="FA3" t="e">
        <f>AND(MAT.!F8,"AAAAADFr35w=")</f>
        <v>#VALUE!</v>
      </c>
      <c r="FB3" t="e">
        <f>AND(MAT.!G8,"AAAAADFr350=")</f>
        <v>#VALUE!</v>
      </c>
      <c r="FC3" t="e">
        <f>AND(MAT.!H8,"AAAAADFr354=")</f>
        <v>#VALUE!</v>
      </c>
      <c r="FD3" t="e">
        <f>AND(MAT.!I8,"AAAAADFr358=")</f>
        <v>#VALUE!</v>
      </c>
      <c r="FE3" t="e">
        <f>AND(MAT.!J8,"AAAAADFr36A=")</f>
        <v>#VALUE!</v>
      </c>
      <c r="FF3" t="e">
        <f>AND(MAT.!K8,"AAAAADFr36E=")</f>
        <v>#VALUE!</v>
      </c>
      <c r="FG3" t="e">
        <f>AND(MAT.!L8,"AAAAADFr36I=")</f>
        <v>#VALUE!</v>
      </c>
      <c r="FH3">
        <f>IF(MAT.!9:9,"AAAAADFr36M=",0)</f>
        <v>0</v>
      </c>
      <c r="FI3" t="e">
        <f>AND(MAT.!A9,"AAAAADFr36Q=")</f>
        <v>#VALUE!</v>
      </c>
      <c r="FJ3" t="e">
        <f>AND(MAT.!B9,"AAAAADFr36U=")</f>
        <v>#VALUE!</v>
      </c>
      <c r="FK3" t="e">
        <f>AND(MAT.!C9,"AAAAADFr36Y=")</f>
        <v>#VALUE!</v>
      </c>
      <c r="FL3" t="e">
        <f>AND(MAT.!D9,"AAAAADFr36c=")</f>
        <v>#VALUE!</v>
      </c>
      <c r="FM3" t="e">
        <f>AND(MAT.!E9,"AAAAADFr36g=")</f>
        <v>#VALUE!</v>
      </c>
      <c r="FN3" t="e">
        <f>AND(MAT.!F9,"AAAAADFr36k=")</f>
        <v>#VALUE!</v>
      </c>
      <c r="FO3" t="e">
        <f>AND(MAT.!G9,"AAAAADFr36o=")</f>
        <v>#VALUE!</v>
      </c>
      <c r="FP3" t="e">
        <f>AND(MAT.!H9,"AAAAADFr36s=")</f>
        <v>#VALUE!</v>
      </c>
      <c r="FQ3" t="e">
        <f>AND(MAT.!I9,"AAAAADFr36w=")</f>
        <v>#VALUE!</v>
      </c>
      <c r="FR3" t="e">
        <f>AND(MAT.!J9,"AAAAADFr360=")</f>
        <v>#VALUE!</v>
      </c>
      <c r="FS3" t="e">
        <f>AND(MAT.!K9,"AAAAADFr364=")</f>
        <v>#VALUE!</v>
      </c>
      <c r="FT3" t="e">
        <f>AND(MAT.!L9,"AAAAADFr368=")</f>
        <v>#VALUE!</v>
      </c>
      <c r="FU3">
        <f>IF(MAT.!10:10,"AAAAADFr37A=",0)</f>
        <v>0</v>
      </c>
      <c r="FV3" t="e">
        <f>AND(MAT.!A10,"AAAAADFr37E=")</f>
        <v>#VALUE!</v>
      </c>
      <c r="FW3" t="e">
        <f>AND(MAT.!B10,"AAAAADFr37I=")</f>
        <v>#VALUE!</v>
      </c>
      <c r="FX3" t="e">
        <f>AND(MAT.!C10,"AAAAADFr37M=")</f>
        <v>#VALUE!</v>
      </c>
      <c r="FY3" t="e">
        <f>AND(MAT.!D10,"AAAAADFr37Q=")</f>
        <v>#VALUE!</v>
      </c>
      <c r="FZ3" t="e">
        <f>AND(MAT.!E10,"AAAAADFr37U=")</f>
        <v>#VALUE!</v>
      </c>
      <c r="GA3" t="e">
        <f>AND(MAT.!F10,"AAAAADFr37Y=")</f>
        <v>#VALUE!</v>
      </c>
      <c r="GB3" t="e">
        <f>AND(MAT.!G10,"AAAAADFr37c=")</f>
        <v>#VALUE!</v>
      </c>
      <c r="GC3" t="e">
        <f>AND(MAT.!H10,"AAAAADFr37g=")</f>
        <v>#VALUE!</v>
      </c>
      <c r="GD3" t="e">
        <f>AND(MAT.!I10,"AAAAADFr37k=")</f>
        <v>#VALUE!</v>
      </c>
      <c r="GE3" t="e">
        <f>AND(MAT.!J10,"AAAAADFr37o=")</f>
        <v>#VALUE!</v>
      </c>
      <c r="GF3" t="e">
        <f>AND(MAT.!K10,"AAAAADFr37s=")</f>
        <v>#VALUE!</v>
      </c>
      <c r="GG3" t="e">
        <f>AND(MAT.!L10,"AAAAADFr37w=")</f>
        <v>#VALUE!</v>
      </c>
      <c r="GH3">
        <f>IF(MAT.!11:11,"AAAAADFr370=",0)</f>
        <v>0</v>
      </c>
      <c r="GI3" t="e">
        <f>AND(MAT.!A11,"AAAAADFr374=")</f>
        <v>#VALUE!</v>
      </c>
      <c r="GJ3" t="e">
        <f>AND(MAT.!B11,"AAAAADFr378=")</f>
        <v>#VALUE!</v>
      </c>
      <c r="GK3" t="e">
        <f>AND(MAT.!C11,"AAAAADFr38A=")</f>
        <v>#VALUE!</v>
      </c>
      <c r="GL3" t="e">
        <f>AND(MAT.!D11,"AAAAADFr38E=")</f>
        <v>#VALUE!</v>
      </c>
      <c r="GM3" t="e">
        <f>AND(MAT.!E11,"AAAAADFr38I=")</f>
        <v>#VALUE!</v>
      </c>
      <c r="GN3" t="e">
        <f>AND(MAT.!F11,"AAAAADFr38M=")</f>
        <v>#VALUE!</v>
      </c>
      <c r="GO3" t="e">
        <f>AND(MAT.!G11,"AAAAADFr38Q=")</f>
        <v>#VALUE!</v>
      </c>
      <c r="GP3" t="e">
        <f>AND(MAT.!H11,"AAAAADFr38U=")</f>
        <v>#VALUE!</v>
      </c>
      <c r="GQ3" t="e">
        <f>AND(MAT.!I11,"AAAAADFr38Y=")</f>
        <v>#VALUE!</v>
      </c>
      <c r="GR3" t="e">
        <f>AND(MAT.!J11,"AAAAADFr38c=")</f>
        <v>#VALUE!</v>
      </c>
      <c r="GS3" t="e">
        <f>AND(MAT.!K11,"AAAAADFr38g=")</f>
        <v>#VALUE!</v>
      </c>
      <c r="GT3" t="e">
        <f>AND(MAT.!L11,"AAAAADFr38k=")</f>
        <v>#VALUE!</v>
      </c>
      <c r="GU3">
        <f>IF(MAT.!12:12,"AAAAADFr38o=",0)</f>
        <v>0</v>
      </c>
      <c r="GV3" t="e">
        <f>AND(MAT.!A12,"AAAAADFr38s=")</f>
        <v>#VALUE!</v>
      </c>
      <c r="GW3" t="e">
        <f>AND(MAT.!B12,"AAAAADFr38w=")</f>
        <v>#VALUE!</v>
      </c>
      <c r="GX3" t="e">
        <f>AND(MAT.!C12,"AAAAADFr380=")</f>
        <v>#VALUE!</v>
      </c>
      <c r="GY3" t="e">
        <f>AND(MAT.!D12,"AAAAADFr384=")</f>
        <v>#VALUE!</v>
      </c>
      <c r="GZ3" t="e">
        <f>AND(MAT.!E12,"AAAAADFr388=")</f>
        <v>#VALUE!</v>
      </c>
      <c r="HA3" t="e">
        <f>AND(MAT.!F12,"AAAAADFr39A=")</f>
        <v>#VALUE!</v>
      </c>
      <c r="HB3" t="e">
        <f>AND(MAT.!G12,"AAAAADFr39E=")</f>
        <v>#VALUE!</v>
      </c>
      <c r="HC3" t="e">
        <f>AND(MAT.!H12,"AAAAADFr39I=")</f>
        <v>#VALUE!</v>
      </c>
      <c r="HD3" t="e">
        <f>AND(MAT.!I12,"AAAAADFr39M=")</f>
        <v>#VALUE!</v>
      </c>
      <c r="HE3" t="e">
        <f>AND(MAT.!J12,"AAAAADFr39Q=")</f>
        <v>#VALUE!</v>
      </c>
      <c r="HF3" t="e">
        <f>AND(MAT.!K12,"AAAAADFr39U=")</f>
        <v>#VALUE!</v>
      </c>
      <c r="HG3" t="e">
        <f>AND(MAT.!L12,"AAAAADFr39Y=")</f>
        <v>#VALUE!</v>
      </c>
      <c r="HH3">
        <f>IF(MAT.!13:13,"AAAAADFr39c=",0)</f>
        <v>0</v>
      </c>
      <c r="HI3" t="e">
        <f>AND(MAT.!A13,"AAAAADFr39g=")</f>
        <v>#VALUE!</v>
      </c>
      <c r="HJ3" t="e">
        <f>AND(MAT.!B13,"AAAAADFr39k=")</f>
        <v>#VALUE!</v>
      </c>
      <c r="HK3" t="e">
        <f>AND(MAT.!C13,"AAAAADFr39o=")</f>
        <v>#VALUE!</v>
      </c>
      <c r="HL3" t="e">
        <f>AND(MAT.!D13,"AAAAADFr39s=")</f>
        <v>#VALUE!</v>
      </c>
      <c r="HM3" t="e">
        <f>AND(MAT.!E13,"AAAAADFr39w=")</f>
        <v>#VALUE!</v>
      </c>
      <c r="HN3" t="e">
        <f>AND(MAT.!F13,"AAAAADFr390=")</f>
        <v>#VALUE!</v>
      </c>
      <c r="HO3" t="e">
        <f>AND(MAT.!G13,"AAAAADFr394=")</f>
        <v>#VALUE!</v>
      </c>
      <c r="HP3" t="e">
        <f>AND(MAT.!H13,"AAAAADFr398=")</f>
        <v>#VALUE!</v>
      </c>
      <c r="HQ3" t="e">
        <f>AND(MAT.!I13,"AAAAADFr3+A=")</f>
        <v>#VALUE!</v>
      </c>
      <c r="HR3" t="e">
        <f>AND(MAT.!J13,"AAAAADFr3+E=")</f>
        <v>#VALUE!</v>
      </c>
      <c r="HS3" t="e">
        <f>AND(MAT.!K13,"AAAAADFr3+I=")</f>
        <v>#VALUE!</v>
      </c>
      <c r="HT3" t="e">
        <f>AND(MAT.!L13,"AAAAADFr3+M=")</f>
        <v>#VALUE!</v>
      </c>
      <c r="HU3">
        <f>IF(MAT.!14:14,"AAAAADFr3+Q=",0)</f>
        <v>0</v>
      </c>
      <c r="HV3" t="e">
        <f>AND(MAT.!A14,"AAAAADFr3+U=")</f>
        <v>#VALUE!</v>
      </c>
      <c r="HW3" t="e">
        <f>AND(MAT.!B14,"AAAAADFr3+Y=")</f>
        <v>#VALUE!</v>
      </c>
      <c r="HX3" t="e">
        <f>AND(MAT.!C14,"AAAAADFr3+c=")</f>
        <v>#VALUE!</v>
      </c>
      <c r="HY3" t="e">
        <f>AND(MAT.!D14,"AAAAADFr3+g=")</f>
        <v>#VALUE!</v>
      </c>
      <c r="HZ3" t="e">
        <f>AND(MAT.!E14,"AAAAADFr3+k=")</f>
        <v>#VALUE!</v>
      </c>
      <c r="IA3" t="e">
        <f>AND(MAT.!F14,"AAAAADFr3+o=")</f>
        <v>#VALUE!</v>
      </c>
      <c r="IB3" t="e">
        <f>AND(MAT.!G14,"AAAAADFr3+s=")</f>
        <v>#VALUE!</v>
      </c>
      <c r="IC3" t="e">
        <f>AND(MAT.!H14,"AAAAADFr3+w=")</f>
        <v>#VALUE!</v>
      </c>
      <c r="ID3" t="e">
        <f>AND(MAT.!I14,"AAAAADFr3+0=")</f>
        <v>#VALUE!</v>
      </c>
      <c r="IE3" t="e">
        <f>AND(MAT.!J14,"AAAAADFr3+4=")</f>
        <v>#VALUE!</v>
      </c>
      <c r="IF3" t="e">
        <f>AND(MAT.!K14,"AAAAADFr3+8=")</f>
        <v>#VALUE!</v>
      </c>
      <c r="IG3" t="e">
        <f>AND(MAT.!L14,"AAAAADFr3/A=")</f>
        <v>#VALUE!</v>
      </c>
      <c r="IH3">
        <f>IF(MAT.!15:15,"AAAAADFr3/E=",0)</f>
        <v>0</v>
      </c>
      <c r="II3" t="e">
        <f>AND(MAT.!A15,"AAAAADFr3/I=")</f>
        <v>#VALUE!</v>
      </c>
      <c r="IJ3" t="e">
        <f>AND(MAT.!B15,"AAAAADFr3/M=")</f>
        <v>#VALUE!</v>
      </c>
      <c r="IK3" t="e">
        <f>AND(MAT.!C15,"AAAAADFr3/Q=")</f>
        <v>#VALUE!</v>
      </c>
      <c r="IL3" t="e">
        <f>AND(MAT.!D15,"AAAAADFr3/U=")</f>
        <v>#VALUE!</v>
      </c>
      <c r="IM3" t="e">
        <f>AND(MAT.!E15,"AAAAADFr3/Y=")</f>
        <v>#VALUE!</v>
      </c>
      <c r="IN3" t="e">
        <f>AND(MAT.!F15,"AAAAADFr3/c=")</f>
        <v>#VALUE!</v>
      </c>
      <c r="IO3" t="e">
        <f>AND(MAT.!G15,"AAAAADFr3/g=")</f>
        <v>#VALUE!</v>
      </c>
      <c r="IP3" t="e">
        <f>AND(MAT.!H15,"AAAAADFr3/k=")</f>
        <v>#VALUE!</v>
      </c>
      <c r="IQ3" t="e">
        <f>AND(MAT.!I15,"AAAAADFr3/o=")</f>
        <v>#VALUE!</v>
      </c>
      <c r="IR3" t="e">
        <f>AND(MAT.!J15,"AAAAADFr3/s=")</f>
        <v>#VALUE!</v>
      </c>
      <c r="IS3" t="e">
        <f>AND(MAT.!K15,"AAAAADFr3/w=")</f>
        <v>#VALUE!</v>
      </c>
      <c r="IT3" t="e">
        <f>AND(MAT.!L15,"AAAAADFr3/0=")</f>
        <v>#VALUE!</v>
      </c>
      <c r="IU3">
        <f>IF(MAT.!16:16,"AAAAADFr3/4=",0)</f>
        <v>0</v>
      </c>
      <c r="IV3" t="e">
        <f>AND(MAT.!A16,"AAAAADFr3/8=")</f>
        <v>#VALUE!</v>
      </c>
    </row>
    <row r="4" spans="1:256">
      <c r="A4" t="e">
        <f>AND(MAT.!B16,"AAAAAF/+uAA=")</f>
        <v>#VALUE!</v>
      </c>
      <c r="B4" t="e">
        <f>AND(MAT.!C16,"AAAAAF/+uAE=")</f>
        <v>#VALUE!</v>
      </c>
      <c r="C4" t="e">
        <f>AND(MAT.!D16,"AAAAAF/+uAI=")</f>
        <v>#VALUE!</v>
      </c>
      <c r="D4" t="e">
        <f>AND(MAT.!E16,"AAAAAF/+uAM=")</f>
        <v>#VALUE!</v>
      </c>
      <c r="E4" t="e">
        <f>AND(MAT.!F16,"AAAAAF/+uAQ=")</f>
        <v>#VALUE!</v>
      </c>
      <c r="F4" t="e">
        <f>AND(MAT.!G16,"AAAAAF/+uAU=")</f>
        <v>#VALUE!</v>
      </c>
      <c r="G4" t="e">
        <f>AND(MAT.!H16,"AAAAAF/+uAY=")</f>
        <v>#VALUE!</v>
      </c>
      <c r="H4" t="e">
        <f>AND(MAT.!I16,"AAAAAF/+uAc=")</f>
        <v>#VALUE!</v>
      </c>
      <c r="I4" t="e">
        <f>AND(MAT.!J16,"AAAAAF/+uAg=")</f>
        <v>#VALUE!</v>
      </c>
      <c r="J4" t="e">
        <f>AND(MAT.!K16,"AAAAAF/+uAk=")</f>
        <v>#VALUE!</v>
      </c>
      <c r="K4" t="e">
        <f>AND(MAT.!L16,"AAAAAF/+uAo=")</f>
        <v>#VALUE!</v>
      </c>
      <c r="L4">
        <f>IF(MAT.!17:17,"AAAAAF/+uAs=",0)</f>
        <v>0</v>
      </c>
      <c r="M4" t="e">
        <f>AND(MAT.!A17,"AAAAAF/+uAw=")</f>
        <v>#VALUE!</v>
      </c>
      <c r="N4" t="e">
        <f>AND(MAT.!B17,"AAAAAF/+uA0=")</f>
        <v>#VALUE!</v>
      </c>
      <c r="O4" t="e">
        <f>AND(MAT.!C17,"AAAAAF/+uA4=")</f>
        <v>#VALUE!</v>
      </c>
      <c r="P4" t="e">
        <f>AND(MAT.!D17,"AAAAAF/+uA8=")</f>
        <v>#VALUE!</v>
      </c>
      <c r="Q4" t="e">
        <f>AND(MAT.!E17,"AAAAAF/+uBA=")</f>
        <v>#VALUE!</v>
      </c>
      <c r="R4" t="e">
        <f>AND(MAT.!F17,"AAAAAF/+uBE=")</f>
        <v>#VALUE!</v>
      </c>
      <c r="S4" t="e">
        <f>AND(MAT.!G17,"AAAAAF/+uBI=")</f>
        <v>#VALUE!</v>
      </c>
      <c r="T4" t="e">
        <f>AND(MAT.!H17,"AAAAAF/+uBM=")</f>
        <v>#VALUE!</v>
      </c>
      <c r="U4" t="e">
        <f>AND(MAT.!I17,"AAAAAF/+uBQ=")</f>
        <v>#VALUE!</v>
      </c>
      <c r="V4" t="e">
        <f>AND(MAT.!J17,"AAAAAF/+uBU=")</f>
        <v>#VALUE!</v>
      </c>
      <c r="W4" t="e">
        <f>AND(MAT.!K17,"AAAAAF/+uBY=")</f>
        <v>#VALUE!</v>
      </c>
      <c r="X4" t="e">
        <f>AND(MAT.!L17,"AAAAAF/+uBc=")</f>
        <v>#VALUE!</v>
      </c>
      <c r="Y4">
        <f>IF(MAT.!18:18,"AAAAAF/+uBg=",0)</f>
        <v>0</v>
      </c>
      <c r="Z4" t="e">
        <f>AND(MAT.!A18,"AAAAAF/+uBk=")</f>
        <v>#VALUE!</v>
      </c>
      <c r="AA4" t="e">
        <f>AND(MAT.!B18,"AAAAAF/+uBo=")</f>
        <v>#VALUE!</v>
      </c>
      <c r="AB4" t="e">
        <f>AND(MAT.!C18,"AAAAAF/+uBs=")</f>
        <v>#VALUE!</v>
      </c>
      <c r="AC4" t="e">
        <f>AND(MAT.!D18,"AAAAAF/+uBw=")</f>
        <v>#VALUE!</v>
      </c>
      <c r="AD4" t="e">
        <f>AND(MAT.!E18,"AAAAAF/+uB0=")</f>
        <v>#VALUE!</v>
      </c>
      <c r="AE4" t="e">
        <f>AND(MAT.!F18,"AAAAAF/+uB4=")</f>
        <v>#VALUE!</v>
      </c>
      <c r="AF4" t="e">
        <f>AND(MAT.!G18,"AAAAAF/+uB8=")</f>
        <v>#VALUE!</v>
      </c>
      <c r="AG4" t="e">
        <f>AND(MAT.!H18,"AAAAAF/+uCA=")</f>
        <v>#VALUE!</v>
      </c>
      <c r="AH4" t="e">
        <f>AND(MAT.!I18,"AAAAAF/+uCE=")</f>
        <v>#VALUE!</v>
      </c>
      <c r="AI4" t="e">
        <f>AND(MAT.!J18,"AAAAAF/+uCI=")</f>
        <v>#VALUE!</v>
      </c>
      <c r="AJ4" t="e">
        <f>AND(MAT.!K18,"AAAAAF/+uCM=")</f>
        <v>#VALUE!</v>
      </c>
      <c r="AK4" t="e">
        <f>AND(MAT.!L18,"AAAAAF/+uCQ=")</f>
        <v>#VALUE!</v>
      </c>
      <c r="AL4">
        <f>IF(MAT.!19:19,"AAAAAF/+uCU=",0)</f>
        <v>0</v>
      </c>
      <c r="AM4" t="e">
        <f>AND(MAT.!A19,"AAAAAF/+uCY=")</f>
        <v>#VALUE!</v>
      </c>
      <c r="AN4" t="e">
        <f>AND(MAT.!B19,"AAAAAF/+uCc=")</f>
        <v>#VALUE!</v>
      </c>
      <c r="AO4" t="e">
        <f>AND(MAT.!C19,"AAAAAF/+uCg=")</f>
        <v>#VALUE!</v>
      </c>
      <c r="AP4" t="e">
        <f>AND(MAT.!D19,"AAAAAF/+uCk=")</f>
        <v>#VALUE!</v>
      </c>
      <c r="AQ4" t="e">
        <f>AND(MAT.!E19,"AAAAAF/+uCo=")</f>
        <v>#VALUE!</v>
      </c>
      <c r="AR4" t="e">
        <f>AND(MAT.!F19,"AAAAAF/+uCs=")</f>
        <v>#VALUE!</v>
      </c>
      <c r="AS4" t="e">
        <f>AND(MAT.!G19,"AAAAAF/+uCw=")</f>
        <v>#VALUE!</v>
      </c>
      <c r="AT4" t="e">
        <f>AND(MAT.!H19,"AAAAAF/+uC0=")</f>
        <v>#VALUE!</v>
      </c>
      <c r="AU4" t="e">
        <f>AND(MAT.!I19,"AAAAAF/+uC4=")</f>
        <v>#VALUE!</v>
      </c>
      <c r="AV4" t="e">
        <f>AND(MAT.!J19,"AAAAAF/+uC8=")</f>
        <v>#VALUE!</v>
      </c>
      <c r="AW4" t="e">
        <f>AND(MAT.!K19,"AAAAAF/+uDA=")</f>
        <v>#VALUE!</v>
      </c>
      <c r="AX4" t="e">
        <f>AND(MAT.!L19,"AAAAAF/+uDE=")</f>
        <v>#VALUE!</v>
      </c>
      <c r="AY4">
        <f>IF(MAT.!20:20,"AAAAAF/+uDI=",0)</f>
        <v>0</v>
      </c>
      <c r="AZ4" t="e">
        <f>AND(MAT.!A20,"AAAAAF/+uDM=")</f>
        <v>#VALUE!</v>
      </c>
      <c r="BA4" t="e">
        <f>AND(MAT.!B20,"AAAAAF/+uDQ=")</f>
        <v>#VALUE!</v>
      </c>
      <c r="BB4" t="e">
        <f>AND(MAT.!C20,"AAAAAF/+uDU=")</f>
        <v>#VALUE!</v>
      </c>
      <c r="BC4" t="e">
        <f>AND(MAT.!D20,"AAAAAF/+uDY=")</f>
        <v>#VALUE!</v>
      </c>
      <c r="BD4" t="e">
        <f>AND(MAT.!E20,"AAAAAF/+uDc=")</f>
        <v>#VALUE!</v>
      </c>
      <c r="BE4" t="e">
        <f>AND(MAT.!F20,"AAAAAF/+uDg=")</f>
        <v>#VALUE!</v>
      </c>
      <c r="BF4" t="e">
        <f>AND(MAT.!G20,"AAAAAF/+uDk=")</f>
        <v>#VALUE!</v>
      </c>
      <c r="BG4" t="e">
        <f>AND(MAT.!H20,"AAAAAF/+uDo=")</f>
        <v>#VALUE!</v>
      </c>
      <c r="BH4" t="e">
        <f>AND(MAT.!I20,"AAAAAF/+uDs=")</f>
        <v>#VALUE!</v>
      </c>
      <c r="BI4" t="e">
        <f>AND(MAT.!J20,"AAAAAF/+uDw=")</f>
        <v>#VALUE!</v>
      </c>
      <c r="BJ4" t="e">
        <f>AND(MAT.!K20,"AAAAAF/+uD0=")</f>
        <v>#VALUE!</v>
      </c>
      <c r="BK4" t="e">
        <f>AND(MAT.!L20,"AAAAAF/+uD4=")</f>
        <v>#VALUE!</v>
      </c>
      <c r="BL4">
        <f>IF(MAT.!21:21,"AAAAAF/+uD8=",0)</f>
        <v>0</v>
      </c>
      <c r="BM4" t="e">
        <f>AND(MAT.!A21,"AAAAAF/+uEA=")</f>
        <v>#VALUE!</v>
      </c>
      <c r="BN4" t="e">
        <f>AND(MAT.!B21,"AAAAAF/+uEE=")</f>
        <v>#VALUE!</v>
      </c>
      <c r="BO4" t="e">
        <f>AND(MAT.!C21,"AAAAAF/+uEI=")</f>
        <v>#VALUE!</v>
      </c>
      <c r="BP4" t="e">
        <f>AND(MAT.!D21,"AAAAAF/+uEM=")</f>
        <v>#VALUE!</v>
      </c>
      <c r="BQ4" t="e">
        <f>AND(MAT.!E21,"AAAAAF/+uEQ=")</f>
        <v>#VALUE!</v>
      </c>
      <c r="BR4" t="e">
        <f>AND(MAT.!F21,"AAAAAF/+uEU=")</f>
        <v>#VALUE!</v>
      </c>
      <c r="BS4" t="e">
        <f>AND(MAT.!G21,"AAAAAF/+uEY=")</f>
        <v>#VALUE!</v>
      </c>
      <c r="BT4" t="e">
        <f>AND(MAT.!H21,"AAAAAF/+uEc=")</f>
        <v>#VALUE!</v>
      </c>
      <c r="BU4" t="e">
        <f>AND(MAT.!I21,"AAAAAF/+uEg=")</f>
        <v>#VALUE!</v>
      </c>
      <c r="BV4" t="e">
        <f>AND(MAT.!J21,"AAAAAF/+uEk=")</f>
        <v>#VALUE!</v>
      </c>
      <c r="BW4" t="e">
        <f>AND(MAT.!K21,"AAAAAF/+uEo=")</f>
        <v>#VALUE!</v>
      </c>
      <c r="BX4" t="e">
        <f>AND(MAT.!L21,"AAAAAF/+uEs=")</f>
        <v>#VALUE!</v>
      </c>
      <c r="BY4">
        <f>IF(MAT.!22:22,"AAAAAF/+uEw=",0)</f>
        <v>0</v>
      </c>
      <c r="BZ4" t="e">
        <f>AND(MAT.!A22,"AAAAAF/+uE0=")</f>
        <v>#VALUE!</v>
      </c>
      <c r="CA4" t="e">
        <f>AND(MAT.!B22,"AAAAAF/+uE4=")</f>
        <v>#VALUE!</v>
      </c>
      <c r="CB4" t="e">
        <f>AND(MAT.!C22,"AAAAAF/+uE8=")</f>
        <v>#VALUE!</v>
      </c>
      <c r="CC4" t="e">
        <f>AND(MAT.!D22,"AAAAAF/+uFA=")</f>
        <v>#VALUE!</v>
      </c>
      <c r="CD4" t="e">
        <f>AND(MAT.!E22,"AAAAAF/+uFE=")</f>
        <v>#VALUE!</v>
      </c>
      <c r="CE4" t="e">
        <f>AND(MAT.!F22,"AAAAAF/+uFI=")</f>
        <v>#VALUE!</v>
      </c>
      <c r="CF4" t="e">
        <f>AND(MAT.!G22,"AAAAAF/+uFM=")</f>
        <v>#VALUE!</v>
      </c>
      <c r="CG4" t="e">
        <f>AND(MAT.!H22,"AAAAAF/+uFQ=")</f>
        <v>#VALUE!</v>
      </c>
      <c r="CH4" t="e">
        <f>AND(MAT.!I22,"AAAAAF/+uFU=")</f>
        <v>#VALUE!</v>
      </c>
      <c r="CI4" t="e">
        <f>AND(MAT.!J22,"AAAAAF/+uFY=")</f>
        <v>#VALUE!</v>
      </c>
      <c r="CJ4" t="e">
        <f>AND(MAT.!K22,"AAAAAF/+uFc=")</f>
        <v>#VALUE!</v>
      </c>
      <c r="CK4" t="e">
        <f>AND(MAT.!L22,"AAAAAF/+uFg=")</f>
        <v>#VALUE!</v>
      </c>
      <c r="CL4">
        <f>IF(MAT.!23:23,"AAAAAF/+uFk=",0)</f>
        <v>0</v>
      </c>
      <c r="CM4" t="e">
        <f>AND(MAT.!A23,"AAAAAF/+uFo=")</f>
        <v>#VALUE!</v>
      </c>
      <c r="CN4" t="e">
        <f>AND(MAT.!B23,"AAAAAF/+uFs=")</f>
        <v>#VALUE!</v>
      </c>
      <c r="CO4" t="e">
        <f>AND(MAT.!C23,"AAAAAF/+uFw=")</f>
        <v>#VALUE!</v>
      </c>
      <c r="CP4" t="e">
        <f>AND(MAT.!D23,"AAAAAF/+uF0=")</f>
        <v>#VALUE!</v>
      </c>
      <c r="CQ4" t="e">
        <f>AND(MAT.!E23,"AAAAAF/+uF4=")</f>
        <v>#VALUE!</v>
      </c>
      <c r="CR4" t="e">
        <f>AND(MAT.!F23,"AAAAAF/+uF8=")</f>
        <v>#VALUE!</v>
      </c>
      <c r="CS4" t="e">
        <f>AND(MAT.!G23,"AAAAAF/+uGA=")</f>
        <v>#VALUE!</v>
      </c>
      <c r="CT4" t="e">
        <f>AND(MAT.!H23,"AAAAAF/+uGE=")</f>
        <v>#VALUE!</v>
      </c>
      <c r="CU4" t="e">
        <f>AND(MAT.!I23,"AAAAAF/+uGI=")</f>
        <v>#VALUE!</v>
      </c>
      <c r="CV4" t="e">
        <f>AND(MAT.!J23,"AAAAAF/+uGM=")</f>
        <v>#VALUE!</v>
      </c>
      <c r="CW4" t="e">
        <f>AND(MAT.!K23,"AAAAAF/+uGQ=")</f>
        <v>#VALUE!</v>
      </c>
      <c r="CX4" t="e">
        <f>AND(MAT.!L23,"AAAAAF/+uGU=")</f>
        <v>#VALUE!</v>
      </c>
      <c r="CY4">
        <f>IF(MAT.!24:24,"AAAAAF/+uGY=",0)</f>
        <v>0</v>
      </c>
      <c r="CZ4" t="e">
        <f>AND(MAT.!A24,"AAAAAF/+uGc=")</f>
        <v>#VALUE!</v>
      </c>
      <c r="DA4" t="e">
        <f>AND(MAT.!B24,"AAAAAF/+uGg=")</f>
        <v>#VALUE!</v>
      </c>
      <c r="DB4" t="e">
        <f>AND(MAT.!C24,"AAAAAF/+uGk=")</f>
        <v>#VALUE!</v>
      </c>
      <c r="DC4" t="e">
        <f>AND(MAT.!D24,"AAAAAF/+uGo=")</f>
        <v>#VALUE!</v>
      </c>
      <c r="DD4" t="e">
        <f>AND(MAT.!E24,"AAAAAF/+uGs=")</f>
        <v>#VALUE!</v>
      </c>
      <c r="DE4" t="e">
        <f>AND(MAT.!F24,"AAAAAF/+uGw=")</f>
        <v>#VALUE!</v>
      </c>
      <c r="DF4" t="e">
        <f>AND(MAT.!G24,"AAAAAF/+uG0=")</f>
        <v>#VALUE!</v>
      </c>
      <c r="DG4" t="e">
        <f>AND(MAT.!H24,"AAAAAF/+uG4=")</f>
        <v>#VALUE!</v>
      </c>
      <c r="DH4" t="e">
        <f>AND(MAT.!I24,"AAAAAF/+uG8=")</f>
        <v>#VALUE!</v>
      </c>
      <c r="DI4" t="e">
        <f>AND(MAT.!J24,"AAAAAF/+uHA=")</f>
        <v>#VALUE!</v>
      </c>
      <c r="DJ4" t="e">
        <f>AND(MAT.!K24,"AAAAAF/+uHE=")</f>
        <v>#VALUE!</v>
      </c>
      <c r="DK4" t="e">
        <f>AND(MAT.!L24,"AAAAAF/+uHI=")</f>
        <v>#VALUE!</v>
      </c>
      <c r="DL4">
        <f>IF(MAT.!25:25,"AAAAAF/+uHM=",0)</f>
        <v>0</v>
      </c>
      <c r="DM4" t="e">
        <f>AND(MAT.!A25,"AAAAAF/+uHQ=")</f>
        <v>#VALUE!</v>
      </c>
      <c r="DN4" t="e">
        <f>AND(MAT.!B25,"AAAAAF/+uHU=")</f>
        <v>#VALUE!</v>
      </c>
      <c r="DO4" t="e">
        <f>AND(MAT.!C25,"AAAAAF/+uHY=")</f>
        <v>#VALUE!</v>
      </c>
      <c r="DP4" t="e">
        <f>AND(MAT.!D25,"AAAAAF/+uHc=")</f>
        <v>#VALUE!</v>
      </c>
      <c r="DQ4" t="e">
        <f>AND(MAT.!E25,"AAAAAF/+uHg=")</f>
        <v>#VALUE!</v>
      </c>
      <c r="DR4" t="e">
        <f>AND(MAT.!F25,"AAAAAF/+uHk=")</f>
        <v>#VALUE!</v>
      </c>
      <c r="DS4" t="e">
        <f>AND(MAT.!G25,"AAAAAF/+uHo=")</f>
        <v>#VALUE!</v>
      </c>
      <c r="DT4" t="e">
        <f>AND(MAT.!H25,"AAAAAF/+uHs=")</f>
        <v>#VALUE!</v>
      </c>
      <c r="DU4" t="e">
        <f>AND(MAT.!I25,"AAAAAF/+uHw=")</f>
        <v>#VALUE!</v>
      </c>
      <c r="DV4" t="e">
        <f>AND(MAT.!J25,"AAAAAF/+uH0=")</f>
        <v>#VALUE!</v>
      </c>
      <c r="DW4" t="e">
        <f>AND(MAT.!K25,"AAAAAF/+uH4=")</f>
        <v>#VALUE!</v>
      </c>
      <c r="DX4" t="e">
        <f>AND(MAT.!L25,"AAAAAF/+uH8=")</f>
        <v>#VALUE!</v>
      </c>
      <c r="DY4">
        <f>IF(MAT.!26:26,"AAAAAF/+uIA=",0)</f>
        <v>0</v>
      </c>
      <c r="DZ4" t="e">
        <f>AND(MAT.!A26,"AAAAAF/+uIE=")</f>
        <v>#VALUE!</v>
      </c>
      <c r="EA4" t="e">
        <f>AND(MAT.!B26,"AAAAAF/+uII=")</f>
        <v>#VALUE!</v>
      </c>
      <c r="EB4" t="e">
        <f>AND(MAT.!C26,"AAAAAF/+uIM=")</f>
        <v>#VALUE!</v>
      </c>
      <c r="EC4" t="e">
        <f>AND(MAT.!D26,"AAAAAF/+uIQ=")</f>
        <v>#VALUE!</v>
      </c>
      <c r="ED4" t="e">
        <f>AND(MAT.!E26,"AAAAAF/+uIU=")</f>
        <v>#VALUE!</v>
      </c>
      <c r="EE4" t="e">
        <f>AND(MAT.!F26,"AAAAAF/+uIY=")</f>
        <v>#VALUE!</v>
      </c>
      <c r="EF4" t="e">
        <f>AND(MAT.!G26,"AAAAAF/+uIc=")</f>
        <v>#VALUE!</v>
      </c>
      <c r="EG4" t="e">
        <f>AND(MAT.!H26,"AAAAAF/+uIg=")</f>
        <v>#VALUE!</v>
      </c>
      <c r="EH4" t="e">
        <f>AND(MAT.!I26,"AAAAAF/+uIk=")</f>
        <v>#VALUE!</v>
      </c>
      <c r="EI4" t="e">
        <f>AND(MAT.!J26,"AAAAAF/+uIo=")</f>
        <v>#VALUE!</v>
      </c>
      <c r="EJ4" t="e">
        <f>AND(MAT.!K26,"AAAAAF/+uIs=")</f>
        <v>#VALUE!</v>
      </c>
      <c r="EK4" t="e">
        <f>AND(MAT.!L26,"AAAAAF/+uIw=")</f>
        <v>#VALUE!</v>
      </c>
      <c r="EL4">
        <f>IF(MAT.!27:27,"AAAAAF/+uI0=",0)</f>
        <v>0</v>
      </c>
      <c r="EM4" t="e">
        <f>AND(MAT.!A27,"AAAAAF/+uI4=")</f>
        <v>#VALUE!</v>
      </c>
      <c r="EN4" t="e">
        <f>AND(MAT.!B27,"AAAAAF/+uI8=")</f>
        <v>#VALUE!</v>
      </c>
      <c r="EO4" t="e">
        <f>AND(MAT.!#REF!,"AAAAAF/+uJA=")</f>
        <v>#REF!</v>
      </c>
      <c r="EP4" t="e">
        <f>AND(MAT.!#REF!,"AAAAAF/+uJE=")</f>
        <v>#REF!</v>
      </c>
      <c r="EQ4" t="e">
        <f>AND(MAT.!E27,"AAAAAF/+uJI=")</f>
        <v>#VALUE!</v>
      </c>
      <c r="ER4" t="e">
        <f>AND(MAT.!F27,"AAAAAF/+uJM=")</f>
        <v>#VALUE!</v>
      </c>
      <c r="ES4" t="e">
        <f>AND(MAT.!G27,"AAAAAF/+uJQ=")</f>
        <v>#VALUE!</v>
      </c>
      <c r="ET4" t="e">
        <f>AND(MAT.!H27,"AAAAAF/+uJU=")</f>
        <v>#VALUE!</v>
      </c>
      <c r="EU4" t="e">
        <f>AND(MAT.!I27,"AAAAAF/+uJY=")</f>
        <v>#VALUE!</v>
      </c>
      <c r="EV4" t="e">
        <f>AND(MAT.!J27,"AAAAAF/+uJc=")</f>
        <v>#VALUE!</v>
      </c>
      <c r="EW4" t="e">
        <f>AND(MAT.!C27,"AAAAAF/+uJg=")</f>
        <v>#VALUE!</v>
      </c>
      <c r="EX4" t="e">
        <f>AND(MAT.!D27,"AAAAAF/+uJk=")</f>
        <v>#VALUE!</v>
      </c>
      <c r="EY4">
        <f>IF(MAT.!28:28,"AAAAAF/+uJo=",0)</f>
        <v>0</v>
      </c>
      <c r="EZ4" t="e">
        <f>AND(MAT.!A28,"AAAAAF/+uJs=")</f>
        <v>#VALUE!</v>
      </c>
      <c r="FA4" t="e">
        <f>AND(MAT.!B28,"AAAAAF/+uJw=")</f>
        <v>#VALUE!</v>
      </c>
      <c r="FB4" t="e">
        <f>AND(MAT.!C28,"AAAAAF/+uJ0=")</f>
        <v>#VALUE!</v>
      </c>
      <c r="FC4" t="e">
        <f>AND(MAT.!D28,"AAAAAF/+uJ4=")</f>
        <v>#VALUE!</v>
      </c>
      <c r="FD4" t="e">
        <f>AND(MAT.!E28,"AAAAAF/+uJ8=")</f>
        <v>#VALUE!</v>
      </c>
      <c r="FE4" t="e">
        <f>AND(MAT.!F28,"AAAAAF/+uKA=")</f>
        <v>#VALUE!</v>
      </c>
      <c r="FF4" t="e">
        <f>AND(MAT.!G28,"AAAAAF/+uKE=")</f>
        <v>#VALUE!</v>
      </c>
      <c r="FG4" t="e">
        <f>AND(MAT.!H28,"AAAAAF/+uKI=")</f>
        <v>#VALUE!</v>
      </c>
      <c r="FH4" t="e">
        <f>AND(MAT.!I28,"AAAAAF/+uKM=")</f>
        <v>#VALUE!</v>
      </c>
      <c r="FI4" t="e">
        <f>AND(MAT.!J28,"AAAAAF/+uKQ=")</f>
        <v>#VALUE!</v>
      </c>
      <c r="FJ4" t="e">
        <f>AND(MAT.!K28,"AAAAAF/+uKU=")</f>
        <v>#VALUE!</v>
      </c>
      <c r="FK4" t="e">
        <f>AND(MAT.!L28,"AAAAAF/+uKY=")</f>
        <v>#VALUE!</v>
      </c>
      <c r="FL4">
        <f>IF(MAT.!29:29,"AAAAAF/+uKc=",0)</f>
        <v>0</v>
      </c>
      <c r="FM4" t="e">
        <f>AND(MAT.!A29,"AAAAAF/+uKg=")</f>
        <v>#VALUE!</v>
      </c>
      <c r="FN4" t="e">
        <f>AND(MAT.!B29,"AAAAAF/+uKk=")</f>
        <v>#VALUE!</v>
      </c>
      <c r="FO4" t="e">
        <f>AND(MAT.!C29,"AAAAAF/+uKo=")</f>
        <v>#VALUE!</v>
      </c>
      <c r="FP4" t="e">
        <f>AND(MAT.!D29,"AAAAAF/+uKs=")</f>
        <v>#VALUE!</v>
      </c>
      <c r="FQ4" t="e">
        <f>AND(MAT.!E29,"AAAAAF/+uKw=")</f>
        <v>#VALUE!</v>
      </c>
      <c r="FR4" t="e">
        <f>AND(MAT.!F29,"AAAAAF/+uK0=")</f>
        <v>#VALUE!</v>
      </c>
      <c r="FS4" t="e">
        <f>AND(MAT.!G29,"AAAAAF/+uK4=")</f>
        <v>#VALUE!</v>
      </c>
      <c r="FT4" t="e">
        <f>AND(MAT.!H29,"AAAAAF/+uK8=")</f>
        <v>#VALUE!</v>
      </c>
      <c r="FU4" t="e">
        <f>AND(MAT.!I29,"AAAAAF/+uLA=")</f>
        <v>#VALUE!</v>
      </c>
      <c r="FV4" t="e">
        <f>AND(MAT.!J29,"AAAAAF/+uLE=")</f>
        <v>#VALUE!</v>
      </c>
      <c r="FW4" t="e">
        <f>AND(MAT.!K29,"AAAAAF/+uLI=")</f>
        <v>#VALUE!</v>
      </c>
      <c r="FX4" t="e">
        <f>AND(MAT.!L29,"AAAAAF/+uLM=")</f>
        <v>#VALUE!</v>
      </c>
      <c r="FY4">
        <f>IF(MAT.!30:30,"AAAAAF/+uLQ=",0)</f>
        <v>0</v>
      </c>
      <c r="FZ4" t="e">
        <f>AND(MAT.!A30,"AAAAAF/+uLU=")</f>
        <v>#VALUE!</v>
      </c>
      <c r="GA4" t="e">
        <f>AND(MAT.!B30,"AAAAAF/+uLY=")</f>
        <v>#VALUE!</v>
      </c>
      <c r="GB4" t="e">
        <f>AND(MAT.!C30,"AAAAAF/+uLc=")</f>
        <v>#VALUE!</v>
      </c>
      <c r="GC4" t="e">
        <f>AND(MAT.!D30,"AAAAAF/+uLg=")</f>
        <v>#VALUE!</v>
      </c>
      <c r="GD4" t="e">
        <f>AND(MAT.!E30,"AAAAAF/+uLk=")</f>
        <v>#VALUE!</v>
      </c>
      <c r="GE4" t="e">
        <f>AND(MAT.!F30,"AAAAAF/+uLo=")</f>
        <v>#VALUE!</v>
      </c>
      <c r="GF4" t="e">
        <f>AND(MAT.!G30,"AAAAAF/+uLs=")</f>
        <v>#VALUE!</v>
      </c>
      <c r="GG4" t="e">
        <f>AND(MAT.!H30,"AAAAAF/+uLw=")</f>
        <v>#VALUE!</v>
      </c>
      <c r="GH4" t="e">
        <f>AND(MAT.!I30,"AAAAAF/+uL0=")</f>
        <v>#VALUE!</v>
      </c>
      <c r="GI4" t="e">
        <f>AND(MAT.!J30,"AAAAAF/+uL4=")</f>
        <v>#VALUE!</v>
      </c>
      <c r="GJ4" t="e">
        <f>AND(MAT.!K30,"AAAAAF/+uL8=")</f>
        <v>#VALUE!</v>
      </c>
      <c r="GK4" t="e">
        <f>AND(MAT.!L30,"AAAAAF/+uMA=")</f>
        <v>#VALUE!</v>
      </c>
      <c r="GL4">
        <f>IF(MAT.!31:31,"AAAAAF/+uME=",0)</f>
        <v>0</v>
      </c>
      <c r="GM4" t="e">
        <f>AND(MAT.!A31,"AAAAAF/+uMI=")</f>
        <v>#VALUE!</v>
      </c>
      <c r="GN4" t="e">
        <f>AND(MAT.!B31,"AAAAAF/+uMM=")</f>
        <v>#VALUE!</v>
      </c>
      <c r="GO4" t="e">
        <f>AND(MAT.!C31,"AAAAAF/+uMQ=")</f>
        <v>#VALUE!</v>
      </c>
      <c r="GP4" t="e">
        <f>AND(MAT.!D31,"AAAAAF/+uMU=")</f>
        <v>#VALUE!</v>
      </c>
      <c r="GQ4" t="e">
        <f>AND(MAT.!E31,"AAAAAF/+uMY=")</f>
        <v>#VALUE!</v>
      </c>
      <c r="GR4" t="e">
        <f>AND(MAT.!F31,"AAAAAF/+uMc=")</f>
        <v>#VALUE!</v>
      </c>
      <c r="GS4" t="e">
        <f>AND(MAT.!G31,"AAAAAF/+uMg=")</f>
        <v>#VALUE!</v>
      </c>
      <c r="GT4" t="e">
        <f>AND(MAT.!H31,"AAAAAF/+uMk=")</f>
        <v>#VALUE!</v>
      </c>
      <c r="GU4" t="e">
        <f>AND(MAT.!I31,"AAAAAF/+uMo=")</f>
        <v>#VALUE!</v>
      </c>
      <c r="GV4" t="e">
        <f>AND(MAT.!J31,"AAAAAF/+uMs=")</f>
        <v>#VALUE!</v>
      </c>
      <c r="GW4" t="e">
        <f>AND(MAT.!K31,"AAAAAF/+uMw=")</f>
        <v>#VALUE!</v>
      </c>
      <c r="GX4" t="e">
        <f>AND(MAT.!L31,"AAAAAF/+uM0=")</f>
        <v>#VALUE!</v>
      </c>
      <c r="GY4">
        <f>IF(MAT.!32:32,"AAAAAF/+uM4=",0)</f>
        <v>0</v>
      </c>
      <c r="GZ4" t="e">
        <f>AND(MAT.!A32,"AAAAAF/+uM8=")</f>
        <v>#VALUE!</v>
      </c>
      <c r="HA4" t="e">
        <f>AND(MAT.!B32,"AAAAAF/+uNA=")</f>
        <v>#VALUE!</v>
      </c>
      <c r="HB4" t="e">
        <f>AND(MAT.!C32,"AAAAAF/+uNE=")</f>
        <v>#VALUE!</v>
      </c>
      <c r="HC4" t="e">
        <f>AND(MAT.!D32,"AAAAAF/+uNI=")</f>
        <v>#VALUE!</v>
      </c>
      <c r="HD4" t="e">
        <f>AND(MAT.!E32,"AAAAAF/+uNM=")</f>
        <v>#VALUE!</v>
      </c>
      <c r="HE4" t="e">
        <f>AND(MAT.!F32,"AAAAAF/+uNQ=")</f>
        <v>#VALUE!</v>
      </c>
      <c r="HF4" t="e">
        <f>AND(MAT.!G32,"AAAAAF/+uNU=")</f>
        <v>#VALUE!</v>
      </c>
      <c r="HG4" t="e">
        <f>AND(MAT.!H32,"AAAAAF/+uNY=")</f>
        <v>#VALUE!</v>
      </c>
      <c r="HH4" t="e">
        <f>AND(MAT.!I32,"AAAAAF/+uNc=")</f>
        <v>#VALUE!</v>
      </c>
      <c r="HI4" t="e">
        <f>AND(MAT.!J32,"AAAAAF/+uNg=")</f>
        <v>#VALUE!</v>
      </c>
      <c r="HJ4" t="e">
        <f>AND(MAT.!K32,"AAAAAF/+uNk=")</f>
        <v>#VALUE!</v>
      </c>
      <c r="HK4" t="e">
        <f>AND(MAT.!L32,"AAAAAF/+uNo=")</f>
        <v>#VALUE!</v>
      </c>
      <c r="HL4">
        <f>IF(MAT.!33:33,"AAAAAF/+uNs=",0)</f>
        <v>0</v>
      </c>
      <c r="HM4" t="e">
        <f>AND(MAT.!A33,"AAAAAF/+uNw=")</f>
        <v>#VALUE!</v>
      </c>
      <c r="HN4" t="e">
        <f>AND(MAT.!B33,"AAAAAF/+uN0=")</f>
        <v>#VALUE!</v>
      </c>
      <c r="HO4" t="e">
        <f>AND(MAT.!C33,"AAAAAF/+uN4=")</f>
        <v>#VALUE!</v>
      </c>
      <c r="HP4" t="e">
        <f>AND(MAT.!D33,"AAAAAF/+uN8=")</f>
        <v>#VALUE!</v>
      </c>
      <c r="HQ4" t="e">
        <f>AND(MAT.!E33,"AAAAAF/+uOA=")</f>
        <v>#VALUE!</v>
      </c>
      <c r="HR4" t="e">
        <f>AND(MAT.!F33,"AAAAAF/+uOE=")</f>
        <v>#VALUE!</v>
      </c>
      <c r="HS4" t="e">
        <f>AND(MAT.!G33,"AAAAAF/+uOI=")</f>
        <v>#VALUE!</v>
      </c>
      <c r="HT4" t="e">
        <f>AND(MAT.!H33,"AAAAAF/+uOM=")</f>
        <v>#VALUE!</v>
      </c>
      <c r="HU4" t="e">
        <f>AND(MAT.!I33,"AAAAAF/+uOQ=")</f>
        <v>#VALUE!</v>
      </c>
      <c r="HV4" t="e">
        <f>AND(MAT.!J33,"AAAAAF/+uOU=")</f>
        <v>#VALUE!</v>
      </c>
      <c r="HW4" t="e">
        <f>AND(MAT.!K33,"AAAAAF/+uOY=")</f>
        <v>#VALUE!</v>
      </c>
      <c r="HX4" t="e">
        <f>AND(MAT.!L33,"AAAAAF/+uOc=")</f>
        <v>#VALUE!</v>
      </c>
      <c r="HY4">
        <f>IF(MAT.!34:34,"AAAAAF/+uOg=",0)</f>
        <v>0</v>
      </c>
      <c r="HZ4" t="e">
        <f>AND(MAT.!A34,"AAAAAF/+uOk=")</f>
        <v>#VALUE!</v>
      </c>
      <c r="IA4" t="e">
        <f>AND(MAT.!B34,"AAAAAF/+uOo=")</f>
        <v>#VALUE!</v>
      </c>
      <c r="IB4" t="e">
        <f>AND(MAT.!C34,"AAAAAF/+uOs=")</f>
        <v>#VALUE!</v>
      </c>
      <c r="IC4" t="e">
        <f>AND(MAT.!D34,"AAAAAF/+uOw=")</f>
        <v>#VALUE!</v>
      </c>
      <c r="ID4" t="e">
        <f>AND(MAT.!E34,"AAAAAF/+uO0=")</f>
        <v>#VALUE!</v>
      </c>
      <c r="IE4" t="e">
        <f>AND(MAT.!F34,"AAAAAF/+uO4=")</f>
        <v>#VALUE!</v>
      </c>
      <c r="IF4" t="e">
        <f>AND(MAT.!G34,"AAAAAF/+uO8=")</f>
        <v>#VALUE!</v>
      </c>
      <c r="IG4" t="e">
        <f>AND(MAT.!H34,"AAAAAF/+uPA=")</f>
        <v>#VALUE!</v>
      </c>
      <c r="IH4" t="e">
        <f>AND(MAT.!I34,"AAAAAF/+uPE=")</f>
        <v>#VALUE!</v>
      </c>
      <c r="II4" t="e">
        <f>AND(MAT.!J34,"AAAAAF/+uPI=")</f>
        <v>#VALUE!</v>
      </c>
      <c r="IJ4" t="e">
        <f>AND(MAT.!K34,"AAAAAF/+uPM=")</f>
        <v>#VALUE!</v>
      </c>
      <c r="IK4" t="e">
        <f>AND(MAT.!L34,"AAAAAF/+uPQ=")</f>
        <v>#VALUE!</v>
      </c>
      <c r="IL4">
        <f>IF(MAT.!35:35,"AAAAAF/+uPU=",0)</f>
        <v>0</v>
      </c>
      <c r="IM4" t="e">
        <f>AND(MAT.!A35,"AAAAAF/+uPY=")</f>
        <v>#VALUE!</v>
      </c>
      <c r="IN4" t="e">
        <f>AND(MAT.!B35,"AAAAAF/+uPc=")</f>
        <v>#VALUE!</v>
      </c>
      <c r="IO4" t="e">
        <f>AND(MAT.!C35,"AAAAAF/+uPg=")</f>
        <v>#VALUE!</v>
      </c>
      <c r="IP4" t="e">
        <f>AND(MAT.!D35,"AAAAAF/+uPk=")</f>
        <v>#VALUE!</v>
      </c>
      <c r="IQ4" t="e">
        <f>AND(MAT.!E35,"AAAAAF/+uPo=")</f>
        <v>#VALUE!</v>
      </c>
      <c r="IR4" t="e">
        <f>AND(MAT.!F35,"AAAAAF/+uPs=")</f>
        <v>#VALUE!</v>
      </c>
      <c r="IS4" t="e">
        <f>AND(MAT.!G35,"AAAAAF/+uPw=")</f>
        <v>#VALUE!</v>
      </c>
      <c r="IT4" t="e">
        <f>AND(MAT.!H35,"AAAAAF/+uP0=")</f>
        <v>#VALUE!</v>
      </c>
      <c r="IU4" t="e">
        <f>AND(MAT.!I35,"AAAAAF/+uP4=")</f>
        <v>#VALUE!</v>
      </c>
      <c r="IV4" t="e">
        <f>AND(MAT.!J35,"AAAAAF/+uP8=")</f>
        <v>#VALUE!</v>
      </c>
    </row>
    <row r="5" spans="1:256">
      <c r="A5" t="e">
        <f>AND(MAT.!K35,"AAAAAHU/+wA=")</f>
        <v>#VALUE!</v>
      </c>
      <c r="B5" t="e">
        <f>AND(MAT.!L35,"AAAAAHU/+wE=")</f>
        <v>#VALUE!</v>
      </c>
      <c r="C5">
        <f>IF(MAT.!A:A,"AAAAAHU/+wI=",0)</f>
        <v>0</v>
      </c>
      <c r="D5">
        <f>IF(MAT.!B:B,"AAAAAHU/+wM=",0)</f>
        <v>0</v>
      </c>
      <c r="E5">
        <f>IF(MAT.!C:C,"AAAAAHU/+wQ=",0)</f>
        <v>0</v>
      </c>
      <c r="F5">
        <f>IF(MAT.!D:D,"AAAAAHU/+wU=",0)</f>
        <v>0</v>
      </c>
      <c r="G5">
        <f>IF(MAT.!E:E,"AAAAAHU/+wY=",0)</f>
        <v>0</v>
      </c>
      <c r="H5">
        <f>IF(MAT.!F:F,"AAAAAHU/+wc=",0)</f>
        <v>0</v>
      </c>
      <c r="I5">
        <f>IF(MAT.!G:G,"AAAAAHU/+wg=",0)</f>
        <v>0</v>
      </c>
      <c r="J5">
        <f>IF(MAT.!H:H,"AAAAAHU/+wk=",0)</f>
        <v>0</v>
      </c>
      <c r="K5">
        <f>IF(MAT.!I:I,"AAAAAHU/+wo=",0)</f>
        <v>0</v>
      </c>
      <c r="L5">
        <f>IF(MAT.!J:J,"AAAAAHU/+ws=",0)</f>
        <v>0</v>
      </c>
      <c r="M5">
        <f>IF(MAT.!K:K,"AAAAAHU/+ww=",0)</f>
        <v>0</v>
      </c>
      <c r="N5">
        <f>IF(MAT.!L:L,"AAAAAHU/+w0=",0)</f>
        <v>0</v>
      </c>
      <c r="O5">
        <f>IF(HIST.!1:1,"AAAAAHU/+w4=",0)</f>
        <v>0</v>
      </c>
      <c r="P5" t="e">
        <f>AND(HIST.!A1,"AAAAAHU/+w8=")</f>
        <v>#VALUE!</v>
      </c>
      <c r="Q5" t="e">
        <f>AND(HIST.!B1,"AAAAAHU/+xA=")</f>
        <v>#VALUE!</v>
      </c>
      <c r="R5" t="e">
        <f>AND(HIST.!C1,"AAAAAHU/+xE=")</f>
        <v>#VALUE!</v>
      </c>
      <c r="S5" t="e">
        <f>AND(HIST.!D1,"AAAAAHU/+xI=")</f>
        <v>#VALUE!</v>
      </c>
      <c r="T5" t="e">
        <f>AND(HIST.!E1,"AAAAAHU/+xM=")</f>
        <v>#VALUE!</v>
      </c>
      <c r="U5" t="e">
        <f>AND(HIST.!F1,"AAAAAHU/+xQ=")</f>
        <v>#VALUE!</v>
      </c>
      <c r="V5" t="e">
        <f>AND(HIST.!G1,"AAAAAHU/+xU=")</f>
        <v>#VALUE!</v>
      </c>
      <c r="W5" t="e">
        <f>AND(HIST.!H1,"AAAAAHU/+xY=")</f>
        <v>#VALUE!</v>
      </c>
      <c r="X5" t="e">
        <f>AND(HIST.!I1,"AAAAAHU/+xc=")</f>
        <v>#VALUE!</v>
      </c>
      <c r="Y5" t="e">
        <f>AND(HIST.!J1,"AAAAAHU/+xg=")</f>
        <v>#VALUE!</v>
      </c>
      <c r="Z5" t="e">
        <f>AND(HIST.!K1,"AAAAAHU/+xk=")</f>
        <v>#VALUE!</v>
      </c>
      <c r="AA5" t="e">
        <f>AND(HIST.!L1,"AAAAAHU/+xo=")</f>
        <v>#VALUE!</v>
      </c>
      <c r="AB5">
        <f>IF(HIST.!2:2,"AAAAAHU/+xs=",0)</f>
        <v>0</v>
      </c>
      <c r="AC5" t="e">
        <f>AND(HIST.!A2,"AAAAAHU/+xw=")</f>
        <v>#VALUE!</v>
      </c>
      <c r="AD5" t="e">
        <f>AND(HIST.!B2,"AAAAAHU/+x0=")</f>
        <v>#VALUE!</v>
      </c>
      <c r="AE5" t="e">
        <f>AND(HIST.!C2,"AAAAAHU/+x4=")</f>
        <v>#VALUE!</v>
      </c>
      <c r="AF5" t="e">
        <f>AND(HIST.!D2,"AAAAAHU/+x8=")</f>
        <v>#VALUE!</v>
      </c>
      <c r="AG5" t="e">
        <f>AND(HIST.!E2,"AAAAAHU/+yA=")</f>
        <v>#VALUE!</v>
      </c>
      <c r="AH5" t="e">
        <f>AND(HIST.!F2,"AAAAAHU/+yE=")</f>
        <v>#VALUE!</v>
      </c>
      <c r="AI5" t="e">
        <f>AND(HIST.!G2,"AAAAAHU/+yI=")</f>
        <v>#VALUE!</v>
      </c>
      <c r="AJ5" t="e">
        <f>AND(HIST.!H2,"AAAAAHU/+yM=")</f>
        <v>#VALUE!</v>
      </c>
      <c r="AK5" t="e">
        <f>AND(HIST.!I2,"AAAAAHU/+yQ=")</f>
        <v>#VALUE!</v>
      </c>
      <c r="AL5" t="e">
        <f>AND(HIST.!J2,"AAAAAHU/+yU=")</f>
        <v>#VALUE!</v>
      </c>
      <c r="AM5" t="e">
        <f>AND(HIST.!K2,"AAAAAHU/+yY=")</f>
        <v>#VALUE!</v>
      </c>
      <c r="AN5" t="e">
        <f>AND(HIST.!L2,"AAAAAHU/+yc=")</f>
        <v>#VALUE!</v>
      </c>
      <c r="AO5">
        <f>IF(HIST.!3:3,"AAAAAHU/+yg=",0)</f>
        <v>0</v>
      </c>
      <c r="AP5" t="e">
        <f>AND(HIST.!A3,"AAAAAHU/+yk=")</f>
        <v>#VALUE!</v>
      </c>
      <c r="AQ5" t="e">
        <f>AND(HIST.!B3,"AAAAAHU/+yo=")</f>
        <v>#VALUE!</v>
      </c>
      <c r="AR5" t="e">
        <f>AND(HIST.!C3,"AAAAAHU/+ys=")</f>
        <v>#VALUE!</v>
      </c>
      <c r="AS5" t="e">
        <f>AND(HIST.!D3,"AAAAAHU/+yw=")</f>
        <v>#VALUE!</v>
      </c>
      <c r="AT5" t="e">
        <f>AND(HIST.!E3,"AAAAAHU/+y0=")</f>
        <v>#VALUE!</v>
      </c>
      <c r="AU5" t="e">
        <f>AND(HIST.!F3,"AAAAAHU/+y4=")</f>
        <v>#VALUE!</v>
      </c>
      <c r="AV5" t="e">
        <f>AND(HIST.!G3,"AAAAAHU/+y8=")</f>
        <v>#VALUE!</v>
      </c>
      <c r="AW5" t="e">
        <f>AND(HIST.!H3,"AAAAAHU/+zA=")</f>
        <v>#VALUE!</v>
      </c>
      <c r="AX5" t="e">
        <f>AND(HIST.!I3,"AAAAAHU/+zE=")</f>
        <v>#VALUE!</v>
      </c>
      <c r="AY5" t="e">
        <f>AND(HIST.!J3,"AAAAAHU/+zI=")</f>
        <v>#VALUE!</v>
      </c>
      <c r="AZ5" t="e">
        <f>AND(HIST.!K3,"AAAAAHU/+zM=")</f>
        <v>#VALUE!</v>
      </c>
      <c r="BA5" t="e">
        <f>AND(HIST.!L3,"AAAAAHU/+zQ=")</f>
        <v>#VALUE!</v>
      </c>
      <c r="BB5">
        <f>IF(HIST.!4:4,"AAAAAHU/+zU=",0)</f>
        <v>0</v>
      </c>
      <c r="BC5" t="e">
        <f>AND(HIST.!A4,"AAAAAHU/+zY=")</f>
        <v>#VALUE!</v>
      </c>
      <c r="BD5" t="e">
        <f>AND(HIST.!B4,"AAAAAHU/+zc=")</f>
        <v>#VALUE!</v>
      </c>
      <c r="BE5" t="e">
        <f>AND(HIST.!C4,"AAAAAHU/+zg=")</f>
        <v>#VALUE!</v>
      </c>
      <c r="BF5" t="e">
        <f>AND(HIST.!D4,"AAAAAHU/+zk=")</f>
        <v>#VALUE!</v>
      </c>
      <c r="BG5" t="e">
        <f>AND(HIST.!E4,"AAAAAHU/+zo=")</f>
        <v>#VALUE!</v>
      </c>
      <c r="BH5" t="e">
        <f>AND(HIST.!F4,"AAAAAHU/+zs=")</f>
        <v>#VALUE!</v>
      </c>
      <c r="BI5" t="e">
        <f>AND(HIST.!G4,"AAAAAHU/+zw=")</f>
        <v>#VALUE!</v>
      </c>
      <c r="BJ5" t="e">
        <f>AND(HIST.!H4,"AAAAAHU/+z0=")</f>
        <v>#VALUE!</v>
      </c>
      <c r="BK5" t="e">
        <f>AND(HIST.!I4,"AAAAAHU/+z4=")</f>
        <v>#VALUE!</v>
      </c>
      <c r="BL5" t="e">
        <f>AND(HIST.!J4,"AAAAAHU/+z8=")</f>
        <v>#VALUE!</v>
      </c>
      <c r="BM5" t="e">
        <f>AND(HIST.!K4,"AAAAAHU/+0A=")</f>
        <v>#VALUE!</v>
      </c>
      <c r="BN5" t="e">
        <f>AND(HIST.!L4,"AAAAAHU/+0E=")</f>
        <v>#VALUE!</v>
      </c>
      <c r="BO5">
        <f>IF(HIST.!5:5,"AAAAAHU/+0I=",0)</f>
        <v>0</v>
      </c>
      <c r="BP5" t="e">
        <f>AND(HIST.!A5,"AAAAAHU/+0M=")</f>
        <v>#VALUE!</v>
      </c>
      <c r="BQ5" t="e">
        <f>AND(HIST.!B5,"AAAAAHU/+0Q=")</f>
        <v>#VALUE!</v>
      </c>
      <c r="BR5" t="e">
        <f>AND(HIST.!C5,"AAAAAHU/+0U=")</f>
        <v>#VALUE!</v>
      </c>
      <c r="BS5" t="e">
        <f>AND(HIST.!D5,"AAAAAHU/+0Y=")</f>
        <v>#VALUE!</v>
      </c>
      <c r="BT5" t="e">
        <f>AND(HIST.!E5,"AAAAAHU/+0c=")</f>
        <v>#VALUE!</v>
      </c>
      <c r="BU5" t="e">
        <f>AND(HIST.!F5,"AAAAAHU/+0g=")</f>
        <v>#VALUE!</v>
      </c>
      <c r="BV5" t="e">
        <f>AND(HIST.!G5,"AAAAAHU/+0k=")</f>
        <v>#VALUE!</v>
      </c>
      <c r="BW5" t="e">
        <f>AND(HIST.!H5,"AAAAAHU/+0o=")</f>
        <v>#VALUE!</v>
      </c>
      <c r="BX5" t="e">
        <f>AND(HIST.!I5,"AAAAAHU/+0s=")</f>
        <v>#VALUE!</v>
      </c>
      <c r="BY5" t="e">
        <f>AND(HIST.!J5,"AAAAAHU/+0w=")</f>
        <v>#VALUE!</v>
      </c>
      <c r="BZ5" t="e">
        <f>AND(HIST.!K5,"AAAAAHU/+00=")</f>
        <v>#VALUE!</v>
      </c>
      <c r="CA5" t="e">
        <f>AND(HIST.!L5,"AAAAAHU/+04=")</f>
        <v>#VALUE!</v>
      </c>
      <c r="CB5">
        <f>IF(HIST.!6:6,"AAAAAHU/+08=",0)</f>
        <v>0</v>
      </c>
      <c r="CC5" t="e">
        <f>AND(HIST.!A6,"AAAAAHU/+1A=")</f>
        <v>#VALUE!</v>
      </c>
      <c r="CD5" t="e">
        <f>AND(HIST.!B6,"AAAAAHU/+1E=")</f>
        <v>#VALUE!</v>
      </c>
      <c r="CE5" t="e">
        <f>AND(HIST.!C6,"AAAAAHU/+1I=")</f>
        <v>#VALUE!</v>
      </c>
      <c r="CF5" t="e">
        <f>AND(HIST.!D6,"AAAAAHU/+1M=")</f>
        <v>#VALUE!</v>
      </c>
      <c r="CG5" t="e">
        <f>AND(HIST.!E6,"AAAAAHU/+1Q=")</f>
        <v>#VALUE!</v>
      </c>
      <c r="CH5" t="e">
        <f>AND(HIST.!F6,"AAAAAHU/+1U=")</f>
        <v>#VALUE!</v>
      </c>
      <c r="CI5" t="e">
        <f>AND(HIST.!G6,"AAAAAHU/+1Y=")</f>
        <v>#VALUE!</v>
      </c>
      <c r="CJ5" t="e">
        <f>AND(HIST.!H6,"AAAAAHU/+1c=")</f>
        <v>#VALUE!</v>
      </c>
      <c r="CK5" t="e">
        <f>AND(HIST.!I6,"AAAAAHU/+1g=")</f>
        <v>#VALUE!</v>
      </c>
      <c r="CL5" t="e">
        <f>AND(HIST.!J6,"AAAAAHU/+1k=")</f>
        <v>#VALUE!</v>
      </c>
      <c r="CM5" t="e">
        <f>AND(HIST.!K6,"AAAAAHU/+1o=")</f>
        <v>#VALUE!</v>
      </c>
      <c r="CN5" t="e">
        <f>AND(HIST.!L6,"AAAAAHU/+1s=")</f>
        <v>#VALUE!</v>
      </c>
      <c r="CO5">
        <f>IF(HIST.!7:7,"AAAAAHU/+1w=",0)</f>
        <v>0</v>
      </c>
      <c r="CP5" t="e">
        <f>AND(HIST.!A7,"AAAAAHU/+10=")</f>
        <v>#VALUE!</v>
      </c>
      <c r="CQ5" t="e">
        <f>AND(HIST.!B7,"AAAAAHU/+14=")</f>
        <v>#VALUE!</v>
      </c>
      <c r="CR5" t="e">
        <f>AND(HIST.!C7,"AAAAAHU/+18=")</f>
        <v>#VALUE!</v>
      </c>
      <c r="CS5" t="e">
        <f>AND(HIST.!D7,"AAAAAHU/+2A=")</f>
        <v>#VALUE!</v>
      </c>
      <c r="CT5" t="e">
        <f>AND(HIST.!E7,"AAAAAHU/+2E=")</f>
        <v>#VALUE!</v>
      </c>
      <c r="CU5" t="e">
        <f>AND(HIST.!F7,"AAAAAHU/+2I=")</f>
        <v>#VALUE!</v>
      </c>
      <c r="CV5" t="e">
        <f>AND(HIST.!G7,"AAAAAHU/+2M=")</f>
        <v>#VALUE!</v>
      </c>
      <c r="CW5" t="e">
        <f>AND(HIST.!H7,"AAAAAHU/+2Q=")</f>
        <v>#VALUE!</v>
      </c>
      <c r="CX5" t="e">
        <f>AND(HIST.!I7,"AAAAAHU/+2U=")</f>
        <v>#VALUE!</v>
      </c>
      <c r="CY5" t="e">
        <f>AND(HIST.!J7,"AAAAAHU/+2Y=")</f>
        <v>#VALUE!</v>
      </c>
      <c r="CZ5" t="e">
        <f>AND(HIST.!K7,"AAAAAHU/+2c=")</f>
        <v>#VALUE!</v>
      </c>
      <c r="DA5" t="e">
        <f>AND(HIST.!L7,"AAAAAHU/+2g=")</f>
        <v>#VALUE!</v>
      </c>
      <c r="DB5">
        <f>IF(HIST.!8:8,"AAAAAHU/+2k=",0)</f>
        <v>0</v>
      </c>
      <c r="DC5" t="e">
        <f>AND(HIST.!A8,"AAAAAHU/+2o=")</f>
        <v>#VALUE!</v>
      </c>
      <c r="DD5" t="e">
        <f>AND(HIST.!B8,"AAAAAHU/+2s=")</f>
        <v>#VALUE!</v>
      </c>
      <c r="DE5" t="e">
        <f>AND(HIST.!C8,"AAAAAHU/+2w=")</f>
        <v>#VALUE!</v>
      </c>
      <c r="DF5" t="e">
        <f>AND(HIST.!D8,"AAAAAHU/+20=")</f>
        <v>#VALUE!</v>
      </c>
      <c r="DG5" t="e">
        <f>AND(HIST.!E8,"AAAAAHU/+24=")</f>
        <v>#VALUE!</v>
      </c>
      <c r="DH5" t="e">
        <f>AND(HIST.!F8,"AAAAAHU/+28=")</f>
        <v>#VALUE!</v>
      </c>
      <c r="DI5" t="e">
        <f>AND(HIST.!G8,"AAAAAHU/+3A=")</f>
        <v>#VALUE!</v>
      </c>
      <c r="DJ5" t="e">
        <f>AND(HIST.!H8,"AAAAAHU/+3E=")</f>
        <v>#VALUE!</v>
      </c>
      <c r="DK5" t="e">
        <f>AND(HIST.!I8,"AAAAAHU/+3I=")</f>
        <v>#VALUE!</v>
      </c>
      <c r="DL5" t="e">
        <f>AND(HIST.!J8,"AAAAAHU/+3M=")</f>
        <v>#VALUE!</v>
      </c>
      <c r="DM5" t="e">
        <f>AND(HIST.!K8,"AAAAAHU/+3Q=")</f>
        <v>#VALUE!</v>
      </c>
      <c r="DN5" t="e">
        <f>AND(HIST.!L8,"AAAAAHU/+3U=")</f>
        <v>#VALUE!</v>
      </c>
      <c r="DO5">
        <f>IF(HIST.!9:9,"AAAAAHU/+3Y=",0)</f>
        <v>0</v>
      </c>
      <c r="DP5" t="e">
        <f>AND(HIST.!A9,"AAAAAHU/+3c=")</f>
        <v>#VALUE!</v>
      </c>
      <c r="DQ5" t="e">
        <f>AND(HIST.!B9,"AAAAAHU/+3g=")</f>
        <v>#VALUE!</v>
      </c>
      <c r="DR5" t="e">
        <f>AND(HIST.!C9,"AAAAAHU/+3k=")</f>
        <v>#VALUE!</v>
      </c>
      <c r="DS5" t="e">
        <f>AND(HIST.!D9,"AAAAAHU/+3o=")</f>
        <v>#VALUE!</v>
      </c>
      <c r="DT5" t="e">
        <f>AND(HIST.!E9,"AAAAAHU/+3s=")</f>
        <v>#VALUE!</v>
      </c>
      <c r="DU5" t="e">
        <f>AND(HIST.!F9,"AAAAAHU/+3w=")</f>
        <v>#VALUE!</v>
      </c>
      <c r="DV5" t="e">
        <f>AND(HIST.!G9,"AAAAAHU/+30=")</f>
        <v>#VALUE!</v>
      </c>
      <c r="DW5" t="e">
        <f>AND(HIST.!H9,"AAAAAHU/+34=")</f>
        <v>#VALUE!</v>
      </c>
      <c r="DX5" t="e">
        <f>AND(HIST.!I9,"AAAAAHU/+38=")</f>
        <v>#VALUE!</v>
      </c>
      <c r="DY5" t="e">
        <f>AND(HIST.!J9,"AAAAAHU/+4A=")</f>
        <v>#VALUE!</v>
      </c>
      <c r="DZ5" t="e">
        <f>AND(HIST.!K9,"AAAAAHU/+4E=")</f>
        <v>#VALUE!</v>
      </c>
      <c r="EA5" t="e">
        <f>AND(HIST.!L9,"AAAAAHU/+4I=")</f>
        <v>#VALUE!</v>
      </c>
      <c r="EB5">
        <f>IF(HIST.!10:10,"AAAAAHU/+4M=",0)</f>
        <v>0</v>
      </c>
      <c r="EC5" t="e">
        <f>AND(HIST.!A10,"AAAAAHU/+4Q=")</f>
        <v>#VALUE!</v>
      </c>
      <c r="ED5" t="e">
        <f>AND(HIST.!B10,"AAAAAHU/+4U=")</f>
        <v>#VALUE!</v>
      </c>
      <c r="EE5" t="e">
        <f>AND(HIST.!C10,"AAAAAHU/+4Y=")</f>
        <v>#VALUE!</v>
      </c>
      <c r="EF5" t="e">
        <f>AND(HIST.!D10,"AAAAAHU/+4c=")</f>
        <v>#VALUE!</v>
      </c>
      <c r="EG5" t="e">
        <f>AND(HIST.!E10,"AAAAAHU/+4g=")</f>
        <v>#VALUE!</v>
      </c>
      <c r="EH5" t="e">
        <f>AND(HIST.!F10,"AAAAAHU/+4k=")</f>
        <v>#VALUE!</v>
      </c>
      <c r="EI5" t="e">
        <f>AND(HIST.!G10,"AAAAAHU/+4o=")</f>
        <v>#VALUE!</v>
      </c>
      <c r="EJ5" t="e">
        <f>AND(HIST.!H10,"AAAAAHU/+4s=")</f>
        <v>#VALUE!</v>
      </c>
      <c r="EK5" t="e">
        <f>AND(HIST.!I10,"AAAAAHU/+4w=")</f>
        <v>#VALUE!</v>
      </c>
      <c r="EL5" t="e">
        <f>AND(HIST.!J10,"AAAAAHU/+40=")</f>
        <v>#VALUE!</v>
      </c>
      <c r="EM5" t="e">
        <f>AND(HIST.!K10,"AAAAAHU/+44=")</f>
        <v>#VALUE!</v>
      </c>
      <c r="EN5" t="e">
        <f>AND(HIST.!L10,"AAAAAHU/+48=")</f>
        <v>#VALUE!</v>
      </c>
      <c r="EO5">
        <f>IF(HIST.!11:11,"AAAAAHU/+5A=",0)</f>
        <v>0</v>
      </c>
      <c r="EP5" t="e">
        <f>AND(HIST.!A11,"AAAAAHU/+5E=")</f>
        <v>#VALUE!</v>
      </c>
      <c r="EQ5" t="e">
        <f>AND(HIST.!B11,"AAAAAHU/+5I=")</f>
        <v>#VALUE!</v>
      </c>
      <c r="ER5" t="e">
        <f>AND(HIST.!C11,"AAAAAHU/+5M=")</f>
        <v>#VALUE!</v>
      </c>
      <c r="ES5" t="e">
        <f>AND(HIST.!D11,"AAAAAHU/+5Q=")</f>
        <v>#VALUE!</v>
      </c>
      <c r="ET5" t="e">
        <f>AND(HIST.!E11,"AAAAAHU/+5U=")</f>
        <v>#VALUE!</v>
      </c>
      <c r="EU5" t="e">
        <f>AND(HIST.!F11,"AAAAAHU/+5Y=")</f>
        <v>#VALUE!</v>
      </c>
      <c r="EV5" t="e">
        <f>AND(HIST.!G11,"AAAAAHU/+5c=")</f>
        <v>#VALUE!</v>
      </c>
      <c r="EW5" t="e">
        <f>AND(HIST.!H11,"AAAAAHU/+5g=")</f>
        <v>#VALUE!</v>
      </c>
      <c r="EX5" t="e">
        <f>AND(HIST.!I11,"AAAAAHU/+5k=")</f>
        <v>#VALUE!</v>
      </c>
      <c r="EY5" t="e">
        <f>AND(HIST.!J11,"AAAAAHU/+5o=")</f>
        <v>#VALUE!</v>
      </c>
      <c r="EZ5" t="e">
        <f>AND(HIST.!K11,"AAAAAHU/+5s=")</f>
        <v>#VALUE!</v>
      </c>
      <c r="FA5" t="e">
        <f>AND(HIST.!L11,"AAAAAHU/+5w=")</f>
        <v>#VALUE!</v>
      </c>
      <c r="FB5">
        <f>IF(HIST.!12:12,"AAAAAHU/+50=",0)</f>
        <v>0</v>
      </c>
      <c r="FC5" t="e">
        <f>AND(HIST.!A12,"AAAAAHU/+54=")</f>
        <v>#VALUE!</v>
      </c>
      <c r="FD5" t="e">
        <f>AND(HIST.!B12,"AAAAAHU/+58=")</f>
        <v>#VALUE!</v>
      </c>
      <c r="FE5" t="e">
        <f>AND(HIST.!C12,"AAAAAHU/+6A=")</f>
        <v>#VALUE!</v>
      </c>
      <c r="FF5" t="e">
        <f>AND(HIST.!D12,"AAAAAHU/+6E=")</f>
        <v>#VALUE!</v>
      </c>
      <c r="FG5" t="e">
        <f>AND(HIST.!E12,"AAAAAHU/+6I=")</f>
        <v>#VALUE!</v>
      </c>
      <c r="FH5" t="e">
        <f>AND(HIST.!F12,"AAAAAHU/+6M=")</f>
        <v>#VALUE!</v>
      </c>
      <c r="FI5" t="e">
        <f>AND(HIST.!G12,"AAAAAHU/+6Q=")</f>
        <v>#VALUE!</v>
      </c>
      <c r="FJ5" t="e">
        <f>AND(HIST.!H12,"AAAAAHU/+6U=")</f>
        <v>#VALUE!</v>
      </c>
      <c r="FK5" t="e">
        <f>AND(HIST.!I12,"AAAAAHU/+6Y=")</f>
        <v>#VALUE!</v>
      </c>
      <c r="FL5" t="e">
        <f>AND(HIST.!J12,"AAAAAHU/+6c=")</f>
        <v>#VALUE!</v>
      </c>
      <c r="FM5" t="e">
        <f>AND(HIST.!K12,"AAAAAHU/+6g=")</f>
        <v>#VALUE!</v>
      </c>
      <c r="FN5" t="e">
        <f>AND(HIST.!L12,"AAAAAHU/+6k=")</f>
        <v>#VALUE!</v>
      </c>
      <c r="FO5">
        <f>IF(HIST.!13:13,"AAAAAHU/+6o=",0)</f>
        <v>0</v>
      </c>
      <c r="FP5" t="e">
        <f>AND(HIST.!A13,"AAAAAHU/+6s=")</f>
        <v>#VALUE!</v>
      </c>
      <c r="FQ5" t="e">
        <f>AND(HIST.!B13,"AAAAAHU/+6w=")</f>
        <v>#VALUE!</v>
      </c>
      <c r="FR5" t="e">
        <f>AND(HIST.!C13,"AAAAAHU/+60=")</f>
        <v>#VALUE!</v>
      </c>
      <c r="FS5" t="e">
        <f>AND(HIST.!D13,"AAAAAHU/+64=")</f>
        <v>#VALUE!</v>
      </c>
      <c r="FT5" t="e">
        <f>AND(HIST.!E13,"AAAAAHU/+68=")</f>
        <v>#VALUE!</v>
      </c>
      <c r="FU5" t="e">
        <f>AND(HIST.!F13,"AAAAAHU/+7A=")</f>
        <v>#VALUE!</v>
      </c>
      <c r="FV5" t="e">
        <f>AND(HIST.!G13,"AAAAAHU/+7E=")</f>
        <v>#VALUE!</v>
      </c>
      <c r="FW5" t="e">
        <f>AND(HIST.!H13,"AAAAAHU/+7I=")</f>
        <v>#VALUE!</v>
      </c>
      <c r="FX5" t="e">
        <f>AND(HIST.!I13,"AAAAAHU/+7M=")</f>
        <v>#VALUE!</v>
      </c>
      <c r="FY5" t="e">
        <f>AND(HIST.!J13,"AAAAAHU/+7Q=")</f>
        <v>#VALUE!</v>
      </c>
      <c r="FZ5" t="e">
        <f>AND(HIST.!K13,"AAAAAHU/+7U=")</f>
        <v>#VALUE!</v>
      </c>
      <c r="GA5" t="e">
        <f>AND(HIST.!L13,"AAAAAHU/+7Y=")</f>
        <v>#VALUE!</v>
      </c>
      <c r="GB5">
        <f>IF(HIST.!14:14,"AAAAAHU/+7c=",0)</f>
        <v>0</v>
      </c>
      <c r="GC5" t="e">
        <f>AND(HIST.!A14,"AAAAAHU/+7g=")</f>
        <v>#VALUE!</v>
      </c>
      <c r="GD5" t="e">
        <f>AND(HIST.!B14,"AAAAAHU/+7k=")</f>
        <v>#VALUE!</v>
      </c>
      <c r="GE5" t="e">
        <f>AND(HIST.!C14,"AAAAAHU/+7o=")</f>
        <v>#VALUE!</v>
      </c>
      <c r="GF5" t="e">
        <f>AND(HIST.!D14,"AAAAAHU/+7s=")</f>
        <v>#VALUE!</v>
      </c>
      <c r="GG5" t="e">
        <f>AND(HIST.!E14,"AAAAAHU/+7w=")</f>
        <v>#VALUE!</v>
      </c>
      <c r="GH5" t="e">
        <f>AND(HIST.!F14,"AAAAAHU/+70=")</f>
        <v>#VALUE!</v>
      </c>
      <c r="GI5" t="e">
        <f>AND(HIST.!G14,"AAAAAHU/+74=")</f>
        <v>#VALUE!</v>
      </c>
      <c r="GJ5" t="e">
        <f>AND(HIST.!H14,"AAAAAHU/+78=")</f>
        <v>#VALUE!</v>
      </c>
      <c r="GK5" t="e">
        <f>AND(HIST.!I14,"AAAAAHU/+8A=")</f>
        <v>#VALUE!</v>
      </c>
      <c r="GL5" t="e">
        <f>AND(HIST.!J14,"AAAAAHU/+8E=")</f>
        <v>#VALUE!</v>
      </c>
      <c r="GM5" t="e">
        <f>AND(HIST.!K14,"AAAAAHU/+8I=")</f>
        <v>#VALUE!</v>
      </c>
      <c r="GN5" t="e">
        <f>AND(HIST.!L14,"AAAAAHU/+8M=")</f>
        <v>#VALUE!</v>
      </c>
      <c r="GO5">
        <f>IF(HIST.!15:15,"AAAAAHU/+8Q=",0)</f>
        <v>0</v>
      </c>
      <c r="GP5" t="e">
        <f>AND(HIST.!A15,"AAAAAHU/+8U=")</f>
        <v>#VALUE!</v>
      </c>
      <c r="GQ5" t="e">
        <f>AND(HIST.!B15,"AAAAAHU/+8Y=")</f>
        <v>#VALUE!</v>
      </c>
      <c r="GR5" t="e">
        <f>AND(HIST.!C15,"AAAAAHU/+8c=")</f>
        <v>#VALUE!</v>
      </c>
      <c r="GS5" t="e">
        <f>AND(HIST.!D15,"AAAAAHU/+8g=")</f>
        <v>#VALUE!</v>
      </c>
      <c r="GT5" t="e">
        <f>AND(HIST.!E15,"AAAAAHU/+8k=")</f>
        <v>#VALUE!</v>
      </c>
      <c r="GU5" t="e">
        <f>AND(HIST.!F15,"AAAAAHU/+8o=")</f>
        <v>#VALUE!</v>
      </c>
      <c r="GV5" t="e">
        <f>AND(HIST.!G15,"AAAAAHU/+8s=")</f>
        <v>#VALUE!</v>
      </c>
      <c r="GW5" t="e">
        <f>AND(HIST.!H15,"AAAAAHU/+8w=")</f>
        <v>#VALUE!</v>
      </c>
      <c r="GX5" t="e">
        <f>AND(HIST.!I15,"AAAAAHU/+80=")</f>
        <v>#VALUE!</v>
      </c>
      <c r="GY5" t="e">
        <f>AND(HIST.!J15,"AAAAAHU/+84=")</f>
        <v>#VALUE!</v>
      </c>
      <c r="GZ5" t="e">
        <f>AND(HIST.!K15,"AAAAAHU/+88=")</f>
        <v>#VALUE!</v>
      </c>
      <c r="HA5" t="e">
        <f>AND(HIST.!L15,"AAAAAHU/+9A=")</f>
        <v>#VALUE!</v>
      </c>
      <c r="HB5">
        <f>IF(HIST.!16:16,"AAAAAHU/+9E=",0)</f>
        <v>0</v>
      </c>
      <c r="HC5" t="e">
        <f>AND(HIST.!A16,"AAAAAHU/+9I=")</f>
        <v>#VALUE!</v>
      </c>
      <c r="HD5" t="e">
        <f>AND(HIST.!B16,"AAAAAHU/+9M=")</f>
        <v>#VALUE!</v>
      </c>
      <c r="HE5" t="e">
        <f>AND(HIST.!C16,"AAAAAHU/+9Q=")</f>
        <v>#VALUE!</v>
      </c>
      <c r="HF5" t="e">
        <f>AND(HIST.!D16,"AAAAAHU/+9U=")</f>
        <v>#VALUE!</v>
      </c>
      <c r="HG5" t="e">
        <f>AND(HIST.!E16,"AAAAAHU/+9Y=")</f>
        <v>#VALUE!</v>
      </c>
      <c r="HH5" t="e">
        <f>AND(HIST.!F16,"AAAAAHU/+9c=")</f>
        <v>#VALUE!</v>
      </c>
      <c r="HI5" t="e">
        <f>AND(HIST.!G16,"AAAAAHU/+9g=")</f>
        <v>#VALUE!</v>
      </c>
      <c r="HJ5" t="e">
        <f>AND(HIST.!H16,"AAAAAHU/+9k=")</f>
        <v>#VALUE!</v>
      </c>
      <c r="HK5" t="e">
        <f>AND(HIST.!I16,"AAAAAHU/+9o=")</f>
        <v>#VALUE!</v>
      </c>
      <c r="HL5" t="e">
        <f>AND(HIST.!J16,"AAAAAHU/+9s=")</f>
        <v>#VALUE!</v>
      </c>
      <c r="HM5" t="e">
        <f>AND(HIST.!K16,"AAAAAHU/+9w=")</f>
        <v>#VALUE!</v>
      </c>
      <c r="HN5" t="e">
        <f>AND(HIST.!L16,"AAAAAHU/+90=")</f>
        <v>#VALUE!</v>
      </c>
      <c r="HO5">
        <f>IF(HIST.!17:17,"AAAAAHU/+94=",0)</f>
        <v>0</v>
      </c>
      <c r="HP5" t="e">
        <f>AND(HIST.!A17,"AAAAAHU/+98=")</f>
        <v>#VALUE!</v>
      </c>
      <c r="HQ5" t="e">
        <f>AND(HIST.!B17,"AAAAAHU/++A=")</f>
        <v>#VALUE!</v>
      </c>
      <c r="HR5" t="e">
        <f>AND(HIST.!C17,"AAAAAHU/++E=")</f>
        <v>#VALUE!</v>
      </c>
      <c r="HS5" t="e">
        <f>AND(HIST.!D17,"AAAAAHU/++I=")</f>
        <v>#VALUE!</v>
      </c>
      <c r="HT5" t="e">
        <f>AND(HIST.!E17,"AAAAAHU/++M=")</f>
        <v>#VALUE!</v>
      </c>
      <c r="HU5" t="e">
        <f>AND(HIST.!F17,"AAAAAHU/++Q=")</f>
        <v>#VALUE!</v>
      </c>
      <c r="HV5" t="e">
        <f>AND(HIST.!G17,"AAAAAHU/++U=")</f>
        <v>#VALUE!</v>
      </c>
      <c r="HW5" t="e">
        <f>AND(HIST.!H17,"AAAAAHU/++Y=")</f>
        <v>#VALUE!</v>
      </c>
      <c r="HX5" t="e">
        <f>AND(HIST.!I17,"AAAAAHU/++c=")</f>
        <v>#VALUE!</v>
      </c>
      <c r="HY5" t="e">
        <f>AND(HIST.!J17,"AAAAAHU/++g=")</f>
        <v>#VALUE!</v>
      </c>
      <c r="HZ5" t="e">
        <f>AND(HIST.!K17,"AAAAAHU/++k=")</f>
        <v>#VALUE!</v>
      </c>
      <c r="IA5" t="e">
        <f>AND(HIST.!L17,"AAAAAHU/++o=")</f>
        <v>#VALUE!</v>
      </c>
      <c r="IB5">
        <f>IF(HIST.!18:18,"AAAAAHU/++s=",0)</f>
        <v>0</v>
      </c>
      <c r="IC5" t="e">
        <f>AND(HIST.!A18,"AAAAAHU/++w=")</f>
        <v>#VALUE!</v>
      </c>
      <c r="ID5" t="e">
        <f>AND(HIST.!B18,"AAAAAHU/++0=")</f>
        <v>#VALUE!</v>
      </c>
      <c r="IE5" t="e">
        <f>AND(HIST.!C18,"AAAAAHU/++4=")</f>
        <v>#VALUE!</v>
      </c>
      <c r="IF5" t="e">
        <f>AND(HIST.!D18,"AAAAAHU/++8=")</f>
        <v>#VALUE!</v>
      </c>
      <c r="IG5" t="e">
        <f>AND(HIST.!E18,"AAAAAHU/+/A=")</f>
        <v>#VALUE!</v>
      </c>
      <c r="IH5" t="e">
        <f>AND(HIST.!F18,"AAAAAHU/+/E=")</f>
        <v>#VALUE!</v>
      </c>
      <c r="II5" t="e">
        <f>AND(HIST.!G18,"AAAAAHU/+/I=")</f>
        <v>#VALUE!</v>
      </c>
      <c r="IJ5" t="e">
        <f>AND(HIST.!H18,"AAAAAHU/+/M=")</f>
        <v>#VALUE!</v>
      </c>
      <c r="IK5" t="e">
        <f>AND(HIST.!I18,"AAAAAHU/+/Q=")</f>
        <v>#VALUE!</v>
      </c>
      <c r="IL5" t="e">
        <f>AND(HIST.!J18,"AAAAAHU/+/U=")</f>
        <v>#VALUE!</v>
      </c>
      <c r="IM5" t="e">
        <f>AND(HIST.!K18,"AAAAAHU/+/Y=")</f>
        <v>#VALUE!</v>
      </c>
      <c r="IN5" t="e">
        <f>AND(HIST.!L18,"AAAAAHU/+/c=")</f>
        <v>#VALUE!</v>
      </c>
      <c r="IO5">
        <f>IF(HIST.!19:19,"AAAAAHU/+/g=",0)</f>
        <v>0</v>
      </c>
      <c r="IP5" t="e">
        <f>AND(HIST.!A19,"AAAAAHU/+/k=")</f>
        <v>#VALUE!</v>
      </c>
      <c r="IQ5" t="e">
        <f>AND(HIST.!B19,"AAAAAHU/+/o=")</f>
        <v>#VALUE!</v>
      </c>
      <c r="IR5" t="e">
        <f>AND(HIST.!C19,"AAAAAHU/+/s=")</f>
        <v>#VALUE!</v>
      </c>
      <c r="IS5" t="e">
        <f>AND(HIST.!D19,"AAAAAHU/+/w=")</f>
        <v>#VALUE!</v>
      </c>
      <c r="IT5" t="e">
        <f>AND(HIST.!E19,"AAAAAHU/+/0=")</f>
        <v>#VALUE!</v>
      </c>
      <c r="IU5" t="e">
        <f>AND(HIST.!F19,"AAAAAHU/+/4=")</f>
        <v>#VALUE!</v>
      </c>
      <c r="IV5" t="e">
        <f>AND(HIST.!G19,"AAAAAHU/+/8=")</f>
        <v>#VALUE!</v>
      </c>
    </row>
    <row r="6" spans="1:256">
      <c r="A6" t="e">
        <f>AND(HIST.!H19,"AAAAAFQqfwA=")</f>
        <v>#VALUE!</v>
      </c>
      <c r="B6" t="e">
        <f>AND(HIST.!I19,"AAAAAFQqfwE=")</f>
        <v>#VALUE!</v>
      </c>
      <c r="C6" t="e">
        <f>AND(HIST.!J19,"AAAAAFQqfwI=")</f>
        <v>#VALUE!</v>
      </c>
      <c r="D6" t="e">
        <f>AND(HIST.!K19,"AAAAAFQqfwM=")</f>
        <v>#VALUE!</v>
      </c>
      <c r="E6" t="e">
        <f>AND(HIST.!L19,"AAAAAFQqfwQ=")</f>
        <v>#VALUE!</v>
      </c>
      <c r="F6">
        <f>IF(HIST.!20:20,"AAAAAFQqfwU=",0)</f>
        <v>0</v>
      </c>
      <c r="G6" t="e">
        <f>AND(HIST.!A20,"AAAAAFQqfwY=")</f>
        <v>#VALUE!</v>
      </c>
      <c r="H6" t="e">
        <f>AND(HIST.!B20,"AAAAAFQqfwc=")</f>
        <v>#VALUE!</v>
      </c>
      <c r="I6" t="e">
        <f>AND(HIST.!C20,"AAAAAFQqfwg=")</f>
        <v>#VALUE!</v>
      </c>
      <c r="J6" t="e">
        <f>AND(HIST.!D20,"AAAAAFQqfwk=")</f>
        <v>#VALUE!</v>
      </c>
      <c r="K6" t="e">
        <f>AND(HIST.!E20,"AAAAAFQqfwo=")</f>
        <v>#VALUE!</v>
      </c>
      <c r="L6" t="e">
        <f>AND(HIST.!F20,"AAAAAFQqfws=")</f>
        <v>#VALUE!</v>
      </c>
      <c r="M6" t="e">
        <f>AND(HIST.!G20,"AAAAAFQqfww=")</f>
        <v>#VALUE!</v>
      </c>
      <c r="N6" t="e">
        <f>AND(HIST.!H20,"AAAAAFQqfw0=")</f>
        <v>#VALUE!</v>
      </c>
      <c r="O6" t="e">
        <f>AND(HIST.!I20,"AAAAAFQqfw4=")</f>
        <v>#VALUE!</v>
      </c>
      <c r="P6" t="e">
        <f>AND(HIST.!J20,"AAAAAFQqfw8=")</f>
        <v>#VALUE!</v>
      </c>
      <c r="Q6" t="e">
        <f>AND(HIST.!K20,"AAAAAFQqfxA=")</f>
        <v>#VALUE!</v>
      </c>
      <c r="R6" t="e">
        <f>AND(HIST.!L20,"AAAAAFQqfxE=")</f>
        <v>#VALUE!</v>
      </c>
      <c r="S6">
        <f>IF(HIST.!21:21,"AAAAAFQqfxI=",0)</f>
        <v>0</v>
      </c>
      <c r="T6" t="e">
        <f>AND(HIST.!A21,"AAAAAFQqfxM=")</f>
        <v>#VALUE!</v>
      </c>
      <c r="U6" t="e">
        <f>AND(HIST.!B21,"AAAAAFQqfxQ=")</f>
        <v>#VALUE!</v>
      </c>
      <c r="V6" t="e">
        <f>AND(HIST.!C21,"AAAAAFQqfxU=")</f>
        <v>#VALUE!</v>
      </c>
      <c r="W6" t="e">
        <f>AND(HIST.!D21,"AAAAAFQqfxY=")</f>
        <v>#VALUE!</v>
      </c>
      <c r="X6" t="e">
        <f>AND(HIST.!E21,"AAAAAFQqfxc=")</f>
        <v>#VALUE!</v>
      </c>
      <c r="Y6" t="e">
        <f>AND(HIST.!F21,"AAAAAFQqfxg=")</f>
        <v>#VALUE!</v>
      </c>
      <c r="Z6" t="e">
        <f>AND(HIST.!G21,"AAAAAFQqfxk=")</f>
        <v>#VALUE!</v>
      </c>
      <c r="AA6" t="e">
        <f>AND(HIST.!H21,"AAAAAFQqfxo=")</f>
        <v>#VALUE!</v>
      </c>
      <c r="AB6" t="e">
        <f>AND(HIST.!I21,"AAAAAFQqfxs=")</f>
        <v>#VALUE!</v>
      </c>
      <c r="AC6" t="e">
        <f>AND(HIST.!J21,"AAAAAFQqfxw=")</f>
        <v>#VALUE!</v>
      </c>
      <c r="AD6" t="e">
        <f>AND(HIST.!K21,"AAAAAFQqfx0=")</f>
        <v>#VALUE!</v>
      </c>
      <c r="AE6" t="e">
        <f>AND(HIST.!L21,"AAAAAFQqfx4=")</f>
        <v>#VALUE!</v>
      </c>
      <c r="AF6">
        <f>IF(HIST.!22:22,"AAAAAFQqfx8=",0)</f>
        <v>0</v>
      </c>
      <c r="AG6" t="e">
        <f>AND(HIST.!A22,"AAAAAFQqfyA=")</f>
        <v>#VALUE!</v>
      </c>
      <c r="AH6" t="e">
        <f>AND(HIST.!B22,"AAAAAFQqfyE=")</f>
        <v>#VALUE!</v>
      </c>
      <c r="AI6" t="e">
        <f>AND(HIST.!C22,"AAAAAFQqfyI=")</f>
        <v>#VALUE!</v>
      </c>
      <c r="AJ6" t="e">
        <f>AND(HIST.!D22,"AAAAAFQqfyM=")</f>
        <v>#VALUE!</v>
      </c>
      <c r="AK6" t="e">
        <f>AND(HIST.!E22,"AAAAAFQqfyQ=")</f>
        <v>#VALUE!</v>
      </c>
      <c r="AL6" t="e">
        <f>AND(HIST.!F22,"AAAAAFQqfyU=")</f>
        <v>#VALUE!</v>
      </c>
      <c r="AM6" t="e">
        <f>AND(HIST.!G22,"AAAAAFQqfyY=")</f>
        <v>#VALUE!</v>
      </c>
      <c r="AN6" t="e">
        <f>AND(HIST.!H22,"AAAAAFQqfyc=")</f>
        <v>#VALUE!</v>
      </c>
      <c r="AO6" t="e">
        <f>AND(HIST.!I22,"AAAAAFQqfyg=")</f>
        <v>#VALUE!</v>
      </c>
      <c r="AP6" t="e">
        <f>AND(HIST.!J22,"AAAAAFQqfyk=")</f>
        <v>#VALUE!</v>
      </c>
      <c r="AQ6" t="e">
        <f>AND(HIST.!K22,"AAAAAFQqfyo=")</f>
        <v>#VALUE!</v>
      </c>
      <c r="AR6" t="e">
        <f>AND(HIST.!L22,"AAAAAFQqfys=")</f>
        <v>#VALUE!</v>
      </c>
      <c r="AS6">
        <f>IF(HIST.!23:23,"AAAAAFQqfyw=",0)</f>
        <v>0</v>
      </c>
      <c r="AT6" t="e">
        <f>AND(HIST.!A23,"AAAAAFQqfy0=")</f>
        <v>#VALUE!</v>
      </c>
      <c r="AU6" t="e">
        <f>AND(HIST.!B23,"AAAAAFQqfy4=")</f>
        <v>#VALUE!</v>
      </c>
      <c r="AV6" t="e">
        <f>AND(HIST.!C23,"AAAAAFQqfy8=")</f>
        <v>#VALUE!</v>
      </c>
      <c r="AW6" t="e">
        <f>AND(HIST.!D23,"AAAAAFQqfzA=")</f>
        <v>#VALUE!</v>
      </c>
      <c r="AX6" t="e">
        <f>AND(HIST.!E23,"AAAAAFQqfzE=")</f>
        <v>#VALUE!</v>
      </c>
      <c r="AY6" t="e">
        <f>AND(HIST.!F23,"AAAAAFQqfzI=")</f>
        <v>#VALUE!</v>
      </c>
      <c r="AZ6" t="e">
        <f>AND(HIST.!G23,"AAAAAFQqfzM=")</f>
        <v>#VALUE!</v>
      </c>
      <c r="BA6" t="e">
        <f>AND(HIST.!H23,"AAAAAFQqfzQ=")</f>
        <v>#VALUE!</v>
      </c>
      <c r="BB6" t="e">
        <f>AND(HIST.!I23,"AAAAAFQqfzU=")</f>
        <v>#VALUE!</v>
      </c>
      <c r="BC6" t="e">
        <f>AND(HIST.!J23,"AAAAAFQqfzY=")</f>
        <v>#VALUE!</v>
      </c>
      <c r="BD6" t="e">
        <f>AND(HIST.!K23,"AAAAAFQqfzc=")</f>
        <v>#VALUE!</v>
      </c>
      <c r="BE6" t="e">
        <f>AND(HIST.!L23,"AAAAAFQqfzg=")</f>
        <v>#VALUE!</v>
      </c>
      <c r="BF6">
        <f>IF(HIST.!24:24,"AAAAAFQqfzk=",0)</f>
        <v>0</v>
      </c>
      <c r="BG6" t="e">
        <f>AND(HIST.!A24,"AAAAAFQqfzo=")</f>
        <v>#VALUE!</v>
      </c>
      <c r="BH6" t="e">
        <f>AND(HIST.!B24,"AAAAAFQqfzs=")</f>
        <v>#VALUE!</v>
      </c>
      <c r="BI6" t="e">
        <f>AND(HIST.!C24,"AAAAAFQqfzw=")</f>
        <v>#VALUE!</v>
      </c>
      <c r="BJ6" t="e">
        <f>AND(HIST.!D24,"AAAAAFQqfz0=")</f>
        <v>#VALUE!</v>
      </c>
      <c r="BK6" t="e">
        <f>AND(HIST.!E24,"AAAAAFQqfz4=")</f>
        <v>#VALUE!</v>
      </c>
      <c r="BL6" t="e">
        <f>AND(HIST.!F24,"AAAAAFQqfz8=")</f>
        <v>#VALUE!</v>
      </c>
      <c r="BM6" t="e">
        <f>AND(HIST.!G24,"AAAAAFQqf0A=")</f>
        <v>#VALUE!</v>
      </c>
      <c r="BN6" t="e">
        <f>AND(HIST.!H24,"AAAAAFQqf0E=")</f>
        <v>#VALUE!</v>
      </c>
      <c r="BO6" t="e">
        <f>AND(HIST.!I24,"AAAAAFQqf0I=")</f>
        <v>#VALUE!</v>
      </c>
      <c r="BP6" t="e">
        <f>AND(HIST.!J24,"AAAAAFQqf0M=")</f>
        <v>#VALUE!</v>
      </c>
      <c r="BQ6" t="e">
        <f>AND(HIST.!K24,"AAAAAFQqf0Q=")</f>
        <v>#VALUE!</v>
      </c>
      <c r="BR6" t="e">
        <f>AND(HIST.!L24,"AAAAAFQqf0U=")</f>
        <v>#VALUE!</v>
      </c>
      <c r="BS6">
        <f>IF(HIST.!25:25,"AAAAAFQqf0Y=",0)</f>
        <v>0</v>
      </c>
      <c r="BT6" t="e">
        <f>AND(HIST.!A25,"AAAAAFQqf0c=")</f>
        <v>#VALUE!</v>
      </c>
      <c r="BU6" t="e">
        <f>AND(HIST.!B25,"AAAAAFQqf0g=")</f>
        <v>#VALUE!</v>
      </c>
      <c r="BV6" t="e">
        <f>AND(HIST.!C25,"AAAAAFQqf0k=")</f>
        <v>#VALUE!</v>
      </c>
      <c r="BW6" t="e">
        <f>AND(HIST.!D25,"AAAAAFQqf0o=")</f>
        <v>#VALUE!</v>
      </c>
      <c r="BX6" t="e">
        <f>AND(HIST.!E25,"AAAAAFQqf0s=")</f>
        <v>#VALUE!</v>
      </c>
      <c r="BY6" t="e">
        <f>AND(HIST.!F25,"AAAAAFQqf0w=")</f>
        <v>#VALUE!</v>
      </c>
      <c r="BZ6" t="e">
        <f>AND(HIST.!G25,"AAAAAFQqf00=")</f>
        <v>#VALUE!</v>
      </c>
      <c r="CA6" t="e">
        <f>AND(HIST.!H25,"AAAAAFQqf04=")</f>
        <v>#VALUE!</v>
      </c>
      <c r="CB6" t="e">
        <f>AND(HIST.!I25,"AAAAAFQqf08=")</f>
        <v>#VALUE!</v>
      </c>
      <c r="CC6" t="e">
        <f>AND(HIST.!J25,"AAAAAFQqf1A=")</f>
        <v>#VALUE!</v>
      </c>
      <c r="CD6" t="e">
        <f>AND(HIST.!K25,"AAAAAFQqf1E=")</f>
        <v>#VALUE!</v>
      </c>
      <c r="CE6" t="e">
        <f>AND(HIST.!L25,"AAAAAFQqf1I=")</f>
        <v>#VALUE!</v>
      </c>
      <c r="CF6">
        <f>IF(HIST.!26:26,"AAAAAFQqf1M=",0)</f>
        <v>0</v>
      </c>
      <c r="CG6" t="e">
        <f>AND(HIST.!A26,"AAAAAFQqf1Q=")</f>
        <v>#VALUE!</v>
      </c>
      <c r="CH6" t="e">
        <f>AND(HIST.!B26,"AAAAAFQqf1U=")</f>
        <v>#VALUE!</v>
      </c>
      <c r="CI6" t="e">
        <f>AND(HIST.!C26,"AAAAAFQqf1Y=")</f>
        <v>#VALUE!</v>
      </c>
      <c r="CJ6" t="e">
        <f>AND(HIST.!D26,"AAAAAFQqf1c=")</f>
        <v>#VALUE!</v>
      </c>
      <c r="CK6" t="e">
        <f>AND(HIST.!E26,"AAAAAFQqf1g=")</f>
        <v>#VALUE!</v>
      </c>
      <c r="CL6" t="e">
        <f>AND(HIST.!F26,"AAAAAFQqf1k=")</f>
        <v>#VALUE!</v>
      </c>
      <c r="CM6" t="e">
        <f>AND(HIST.!G26,"AAAAAFQqf1o=")</f>
        <v>#VALUE!</v>
      </c>
      <c r="CN6" t="e">
        <f>AND(HIST.!H26,"AAAAAFQqf1s=")</f>
        <v>#VALUE!</v>
      </c>
      <c r="CO6" t="e">
        <f>AND(HIST.!I26,"AAAAAFQqf1w=")</f>
        <v>#VALUE!</v>
      </c>
      <c r="CP6" t="e">
        <f>AND(HIST.!J26,"AAAAAFQqf10=")</f>
        <v>#VALUE!</v>
      </c>
      <c r="CQ6" t="e">
        <f>AND(HIST.!K26,"AAAAAFQqf14=")</f>
        <v>#VALUE!</v>
      </c>
      <c r="CR6" t="e">
        <f>AND(HIST.!L26,"AAAAAFQqf18=")</f>
        <v>#VALUE!</v>
      </c>
      <c r="CS6">
        <f>IF(HIST.!27:27,"AAAAAFQqf2A=",0)</f>
        <v>0</v>
      </c>
      <c r="CT6" t="e">
        <f>AND(HIST.!A27,"AAAAAFQqf2E=")</f>
        <v>#VALUE!</v>
      </c>
      <c r="CU6" t="e">
        <f>AND(HIST.!B27,"AAAAAFQqf2I=")</f>
        <v>#VALUE!</v>
      </c>
      <c r="CV6" t="e">
        <f>AND(HIST.!C27,"AAAAAFQqf2M=")</f>
        <v>#VALUE!</v>
      </c>
      <c r="CW6" t="e">
        <f>AND(HIST.!D27,"AAAAAFQqf2Q=")</f>
        <v>#VALUE!</v>
      </c>
      <c r="CX6" t="e">
        <f>AND(HIST.!E27,"AAAAAFQqf2U=")</f>
        <v>#VALUE!</v>
      </c>
      <c r="CY6" t="e">
        <f>AND(HIST.!F27,"AAAAAFQqf2Y=")</f>
        <v>#VALUE!</v>
      </c>
      <c r="CZ6" t="e">
        <f>AND(HIST.!G27,"AAAAAFQqf2c=")</f>
        <v>#VALUE!</v>
      </c>
      <c r="DA6" t="e">
        <f>AND(HIST.!H27,"AAAAAFQqf2g=")</f>
        <v>#VALUE!</v>
      </c>
      <c r="DB6" t="e">
        <f>AND(HIST.!I27,"AAAAAFQqf2k=")</f>
        <v>#VALUE!</v>
      </c>
      <c r="DC6" t="e">
        <f>AND(HIST.!J27,"AAAAAFQqf2o=")</f>
        <v>#VALUE!</v>
      </c>
      <c r="DD6" t="e">
        <f>AND(HIST.!K27,"AAAAAFQqf2s=")</f>
        <v>#VALUE!</v>
      </c>
      <c r="DE6" t="e">
        <f>AND(HIST.!L27,"AAAAAFQqf2w=")</f>
        <v>#VALUE!</v>
      </c>
      <c r="DF6">
        <f>IF(HIST.!28:28,"AAAAAFQqf20=",0)</f>
        <v>0</v>
      </c>
      <c r="DG6" t="e">
        <f>AND(HIST.!A28,"AAAAAFQqf24=")</f>
        <v>#VALUE!</v>
      </c>
      <c r="DH6" t="e">
        <f>AND(HIST.!B28,"AAAAAFQqf28=")</f>
        <v>#VALUE!</v>
      </c>
      <c r="DI6" t="e">
        <f>AND(HIST.!#REF!,"AAAAAFQqf3A=")</f>
        <v>#REF!</v>
      </c>
      <c r="DJ6" t="e">
        <f>AND(HIST.!D28,"AAAAAFQqf3E=")</f>
        <v>#VALUE!</v>
      </c>
      <c r="DK6" t="e">
        <f>AND(HIST.!E28,"AAAAAFQqf3I=")</f>
        <v>#VALUE!</v>
      </c>
      <c r="DL6" t="e">
        <f>AND(HIST.!F28,"AAAAAFQqf3M=")</f>
        <v>#VALUE!</v>
      </c>
      <c r="DM6" t="e">
        <f>AND(HIST.!C28,"AAAAAFQqf3Q=")</f>
        <v>#VALUE!</v>
      </c>
      <c r="DN6" t="e">
        <f>AND(HIST.!H28,"AAAAAFQqf3U=")</f>
        <v>#VALUE!</v>
      </c>
      <c r="DO6" t="e">
        <f>AND(HIST.!I28,"AAAAAFQqf3Y=")</f>
        <v>#VALUE!</v>
      </c>
      <c r="DP6" t="e">
        <f>AND(HIST.!J28,"AAAAAFQqf3c=")</f>
        <v>#VALUE!</v>
      </c>
      <c r="DQ6" t="e">
        <f>AND(HIST.!K28,"AAAAAFQqf3g=")</f>
        <v>#VALUE!</v>
      </c>
      <c r="DR6" t="e">
        <f>AND(HIST.!L28,"AAAAAFQqf3k=")</f>
        <v>#VALUE!</v>
      </c>
      <c r="DS6">
        <f>IF(HIST.!29:29,"AAAAAFQqf3o=",0)</f>
        <v>0</v>
      </c>
      <c r="DT6" t="e">
        <f>AND(HIST.!A29,"AAAAAFQqf3s=")</f>
        <v>#VALUE!</v>
      </c>
      <c r="DU6" t="e">
        <f>AND(HIST.!B29,"AAAAAFQqf3w=")</f>
        <v>#VALUE!</v>
      </c>
      <c r="DV6" t="e">
        <f>AND(HIST.!C29,"AAAAAFQqf30=")</f>
        <v>#VALUE!</v>
      </c>
      <c r="DW6" t="e">
        <f>AND(HIST.!D29,"AAAAAFQqf34=")</f>
        <v>#VALUE!</v>
      </c>
      <c r="DX6" t="e">
        <f>AND(HIST.!E29,"AAAAAFQqf38=")</f>
        <v>#VALUE!</v>
      </c>
      <c r="DY6" t="e">
        <f>AND(HIST.!F29,"AAAAAFQqf4A=")</f>
        <v>#VALUE!</v>
      </c>
      <c r="DZ6" t="e">
        <f>AND(HIST.!G29,"AAAAAFQqf4E=")</f>
        <v>#VALUE!</v>
      </c>
      <c r="EA6" t="e">
        <f>AND(HIST.!H29,"AAAAAFQqf4I=")</f>
        <v>#VALUE!</v>
      </c>
      <c r="EB6" t="e">
        <f>AND(HIST.!I29,"AAAAAFQqf4M=")</f>
        <v>#VALUE!</v>
      </c>
      <c r="EC6" t="e">
        <f>AND(HIST.!J29,"AAAAAFQqf4Q=")</f>
        <v>#VALUE!</v>
      </c>
      <c r="ED6" t="e">
        <f>AND(HIST.!K29,"AAAAAFQqf4U=")</f>
        <v>#VALUE!</v>
      </c>
      <c r="EE6" t="e">
        <f>AND(HIST.!L29,"AAAAAFQqf4Y=")</f>
        <v>#VALUE!</v>
      </c>
      <c r="EF6">
        <f>IF(HIST.!30:30,"AAAAAFQqf4c=",0)</f>
        <v>0</v>
      </c>
      <c r="EG6" t="e">
        <f>AND(HIST.!A30,"AAAAAFQqf4g=")</f>
        <v>#VALUE!</v>
      </c>
      <c r="EH6" t="e">
        <f>AND(HIST.!B30,"AAAAAFQqf4k=")</f>
        <v>#VALUE!</v>
      </c>
      <c r="EI6" t="e">
        <f>AND(HIST.!C30,"AAAAAFQqf4o=")</f>
        <v>#VALUE!</v>
      </c>
      <c r="EJ6" t="e">
        <f>AND(HIST.!D30,"AAAAAFQqf4s=")</f>
        <v>#VALUE!</v>
      </c>
      <c r="EK6" t="e">
        <f>AND(HIST.!E30,"AAAAAFQqf4w=")</f>
        <v>#VALUE!</v>
      </c>
      <c r="EL6" t="e">
        <f>AND(HIST.!F30,"AAAAAFQqf40=")</f>
        <v>#VALUE!</v>
      </c>
      <c r="EM6" t="e">
        <f>AND(HIST.!G30,"AAAAAFQqf44=")</f>
        <v>#VALUE!</v>
      </c>
      <c r="EN6" t="e">
        <f>AND(HIST.!H30,"AAAAAFQqf48=")</f>
        <v>#VALUE!</v>
      </c>
      <c r="EO6" t="e">
        <f>AND(HIST.!I30,"AAAAAFQqf5A=")</f>
        <v>#VALUE!</v>
      </c>
      <c r="EP6" t="e">
        <f>AND(HIST.!J30,"AAAAAFQqf5E=")</f>
        <v>#VALUE!</v>
      </c>
      <c r="EQ6" t="e">
        <f>AND(HIST.!K30,"AAAAAFQqf5I=")</f>
        <v>#VALUE!</v>
      </c>
      <c r="ER6" t="e">
        <f>AND(HIST.!L30,"AAAAAFQqf5M=")</f>
        <v>#VALUE!</v>
      </c>
      <c r="ES6">
        <f>IF(HIST.!31:31,"AAAAAFQqf5Q=",0)</f>
        <v>0</v>
      </c>
      <c r="ET6" t="e">
        <f>AND(HIST.!A31,"AAAAAFQqf5U=")</f>
        <v>#VALUE!</v>
      </c>
      <c r="EU6" t="e">
        <f>AND(HIST.!B31,"AAAAAFQqf5Y=")</f>
        <v>#VALUE!</v>
      </c>
      <c r="EV6" t="e">
        <f>AND(HIST.!C31,"AAAAAFQqf5c=")</f>
        <v>#VALUE!</v>
      </c>
      <c r="EW6" t="e">
        <f>AND(HIST.!D31,"AAAAAFQqf5g=")</f>
        <v>#VALUE!</v>
      </c>
      <c r="EX6" t="e">
        <f>AND(HIST.!E31,"AAAAAFQqf5k=")</f>
        <v>#VALUE!</v>
      </c>
      <c r="EY6" t="e">
        <f>AND(HIST.!F31,"AAAAAFQqf5o=")</f>
        <v>#VALUE!</v>
      </c>
      <c r="EZ6" t="e">
        <f>AND(HIST.!G31,"AAAAAFQqf5s=")</f>
        <v>#VALUE!</v>
      </c>
      <c r="FA6" t="e">
        <f>AND(HIST.!H31,"AAAAAFQqf5w=")</f>
        <v>#VALUE!</v>
      </c>
      <c r="FB6" t="e">
        <f>AND(HIST.!I31,"AAAAAFQqf50=")</f>
        <v>#VALUE!</v>
      </c>
      <c r="FC6" t="e">
        <f>AND(HIST.!J31,"AAAAAFQqf54=")</f>
        <v>#VALUE!</v>
      </c>
      <c r="FD6" t="e">
        <f>AND(HIST.!K31,"AAAAAFQqf58=")</f>
        <v>#VALUE!</v>
      </c>
      <c r="FE6" t="e">
        <f>AND(HIST.!L31,"AAAAAFQqf6A=")</f>
        <v>#VALUE!</v>
      </c>
      <c r="FF6">
        <f>IF(HIST.!32:32,"AAAAAFQqf6E=",0)</f>
        <v>0</v>
      </c>
      <c r="FG6" t="e">
        <f>AND(HIST.!A32,"AAAAAFQqf6I=")</f>
        <v>#VALUE!</v>
      </c>
      <c r="FH6" t="e">
        <f>AND(HIST.!B32,"AAAAAFQqf6M=")</f>
        <v>#VALUE!</v>
      </c>
      <c r="FI6" t="e">
        <f>AND(HIST.!C32,"AAAAAFQqf6Q=")</f>
        <v>#VALUE!</v>
      </c>
      <c r="FJ6" t="e">
        <f>AND(HIST.!D32,"AAAAAFQqf6U=")</f>
        <v>#VALUE!</v>
      </c>
      <c r="FK6" t="e">
        <f>AND(HIST.!E32,"AAAAAFQqf6Y=")</f>
        <v>#VALUE!</v>
      </c>
      <c r="FL6" t="e">
        <f>AND(HIST.!F32,"AAAAAFQqf6c=")</f>
        <v>#VALUE!</v>
      </c>
      <c r="FM6" t="e">
        <f>AND(HIST.!G32,"AAAAAFQqf6g=")</f>
        <v>#VALUE!</v>
      </c>
      <c r="FN6" t="e">
        <f>AND(HIST.!H32,"AAAAAFQqf6k=")</f>
        <v>#VALUE!</v>
      </c>
      <c r="FO6" t="e">
        <f>AND(HIST.!I32,"AAAAAFQqf6o=")</f>
        <v>#VALUE!</v>
      </c>
      <c r="FP6" t="e">
        <f>AND(HIST.!J32,"AAAAAFQqf6s=")</f>
        <v>#VALUE!</v>
      </c>
      <c r="FQ6" t="e">
        <f>AND(HIST.!K32,"AAAAAFQqf6w=")</f>
        <v>#VALUE!</v>
      </c>
      <c r="FR6" t="e">
        <f>AND(HIST.!L32,"AAAAAFQqf60=")</f>
        <v>#VALUE!</v>
      </c>
      <c r="FS6">
        <f>IF(HIST.!33:33,"AAAAAFQqf64=",0)</f>
        <v>0</v>
      </c>
      <c r="FT6" t="e">
        <f>AND(HIST.!A33,"AAAAAFQqf68=")</f>
        <v>#VALUE!</v>
      </c>
      <c r="FU6" t="e">
        <f>AND(HIST.!B33,"AAAAAFQqf7A=")</f>
        <v>#VALUE!</v>
      </c>
      <c r="FV6" t="e">
        <f>AND(HIST.!C33,"AAAAAFQqf7E=")</f>
        <v>#VALUE!</v>
      </c>
      <c r="FW6" t="e">
        <f>AND(HIST.!D33,"AAAAAFQqf7I=")</f>
        <v>#VALUE!</v>
      </c>
      <c r="FX6" t="e">
        <f>AND(HIST.!E33,"AAAAAFQqf7M=")</f>
        <v>#VALUE!</v>
      </c>
      <c r="FY6" t="e">
        <f>AND(HIST.!F33,"AAAAAFQqf7Q=")</f>
        <v>#VALUE!</v>
      </c>
      <c r="FZ6" t="e">
        <f>AND(HIST.!G33,"AAAAAFQqf7U=")</f>
        <v>#VALUE!</v>
      </c>
      <c r="GA6" t="e">
        <f>AND(HIST.!H33,"AAAAAFQqf7Y=")</f>
        <v>#VALUE!</v>
      </c>
      <c r="GB6" t="e">
        <f>AND(HIST.!I33,"AAAAAFQqf7c=")</f>
        <v>#VALUE!</v>
      </c>
      <c r="GC6" t="e">
        <f>AND(HIST.!J33,"AAAAAFQqf7g=")</f>
        <v>#VALUE!</v>
      </c>
      <c r="GD6" t="e">
        <f>AND(HIST.!K33,"AAAAAFQqf7k=")</f>
        <v>#VALUE!</v>
      </c>
      <c r="GE6" t="e">
        <f>AND(HIST.!L33,"AAAAAFQqf7o=")</f>
        <v>#VALUE!</v>
      </c>
      <c r="GF6">
        <f>IF(HIST.!34:34,"AAAAAFQqf7s=",0)</f>
        <v>0</v>
      </c>
      <c r="GG6" t="e">
        <f>AND(HIST.!A34,"AAAAAFQqf7w=")</f>
        <v>#VALUE!</v>
      </c>
      <c r="GH6" t="e">
        <f>AND(HIST.!B34,"AAAAAFQqf70=")</f>
        <v>#VALUE!</v>
      </c>
      <c r="GI6" t="e">
        <f>AND(HIST.!C34,"AAAAAFQqf74=")</f>
        <v>#VALUE!</v>
      </c>
      <c r="GJ6" t="e">
        <f>AND(HIST.!D34,"AAAAAFQqf78=")</f>
        <v>#VALUE!</v>
      </c>
      <c r="GK6" t="e">
        <f>AND(HIST.!E34,"AAAAAFQqf8A=")</f>
        <v>#VALUE!</v>
      </c>
      <c r="GL6" t="e">
        <f>AND(HIST.!F34,"AAAAAFQqf8E=")</f>
        <v>#VALUE!</v>
      </c>
      <c r="GM6" t="e">
        <f>AND(HIST.!G34,"AAAAAFQqf8I=")</f>
        <v>#VALUE!</v>
      </c>
      <c r="GN6" t="e">
        <f>AND(HIST.!H34,"AAAAAFQqf8M=")</f>
        <v>#VALUE!</v>
      </c>
      <c r="GO6" t="e">
        <f>AND(HIST.!I34,"AAAAAFQqf8Q=")</f>
        <v>#VALUE!</v>
      </c>
      <c r="GP6" t="e">
        <f>AND(HIST.!J34,"AAAAAFQqf8U=")</f>
        <v>#VALUE!</v>
      </c>
      <c r="GQ6" t="e">
        <f>AND(HIST.!K34,"AAAAAFQqf8Y=")</f>
        <v>#VALUE!</v>
      </c>
      <c r="GR6" t="e">
        <f>AND(HIST.!L34,"AAAAAFQqf8c=")</f>
        <v>#VALUE!</v>
      </c>
      <c r="GS6">
        <f>IF(HIST.!35:35,"AAAAAFQqf8g=",0)</f>
        <v>0</v>
      </c>
      <c r="GT6" t="e">
        <f>AND(HIST.!A35,"AAAAAFQqf8k=")</f>
        <v>#VALUE!</v>
      </c>
      <c r="GU6" t="e">
        <f>AND(HIST.!B35,"AAAAAFQqf8o=")</f>
        <v>#VALUE!</v>
      </c>
      <c r="GV6" t="e">
        <f>AND(HIST.!C35,"AAAAAFQqf8s=")</f>
        <v>#VALUE!</v>
      </c>
      <c r="GW6" t="e">
        <f>AND(HIST.!D35,"AAAAAFQqf8w=")</f>
        <v>#VALUE!</v>
      </c>
      <c r="GX6" t="e">
        <f>AND(HIST.!E35,"AAAAAFQqf80=")</f>
        <v>#VALUE!</v>
      </c>
      <c r="GY6" t="e">
        <f>AND(HIST.!F35,"AAAAAFQqf84=")</f>
        <v>#VALUE!</v>
      </c>
      <c r="GZ6" t="e">
        <f>AND(HIST.!G35,"AAAAAFQqf88=")</f>
        <v>#VALUE!</v>
      </c>
      <c r="HA6" t="e">
        <f>AND(HIST.!H35,"AAAAAFQqf9A=")</f>
        <v>#VALUE!</v>
      </c>
      <c r="HB6" t="e">
        <f>AND(HIST.!I35,"AAAAAFQqf9E=")</f>
        <v>#VALUE!</v>
      </c>
      <c r="HC6" t="e">
        <f>AND(HIST.!J35,"AAAAAFQqf9I=")</f>
        <v>#VALUE!</v>
      </c>
      <c r="HD6" t="e">
        <f>AND(HIST.!K35,"AAAAAFQqf9M=")</f>
        <v>#VALUE!</v>
      </c>
      <c r="HE6" t="e">
        <f>AND(HIST.!L35,"AAAAAFQqf9Q=")</f>
        <v>#VALUE!</v>
      </c>
      <c r="HF6">
        <f>IF(HIST.!A:A,"AAAAAFQqf9U=",0)</f>
        <v>0</v>
      </c>
      <c r="HG6">
        <f>IF(HIST.!B:B,"AAAAAFQqf9Y=",0)</f>
        <v>0</v>
      </c>
      <c r="HH6">
        <f>IF(HIST.!C:C,"AAAAAFQqf9c=",0)</f>
        <v>0</v>
      </c>
      <c r="HI6">
        <f>IF(HIST.!D:D,"AAAAAFQqf9g=",0)</f>
        <v>0</v>
      </c>
      <c r="HJ6">
        <f>IF(HIST.!E:E,"AAAAAFQqf9k=",0)</f>
        <v>0</v>
      </c>
      <c r="HK6">
        <f>IF(HIST.!F:F,"AAAAAFQqf9o=",0)</f>
        <v>0</v>
      </c>
      <c r="HL6">
        <f>IF(HIST.!G:G,"AAAAAFQqf9s=",0)</f>
        <v>0</v>
      </c>
      <c r="HM6">
        <f>IF(HIST.!H:H,"AAAAAFQqf9w=",0)</f>
        <v>0</v>
      </c>
      <c r="HN6">
        <f>IF(HIST.!I:I,"AAAAAFQqf90=",0)</f>
        <v>0</v>
      </c>
      <c r="HO6">
        <f>IF(HIST.!J:J,"AAAAAFQqf94=",0)</f>
        <v>0</v>
      </c>
      <c r="HP6">
        <f>IF(HIST.!K:K,"AAAAAFQqf98=",0)</f>
        <v>0</v>
      </c>
      <c r="HQ6">
        <f>IF(HIST.!L:L,"AAAAAFQqf+A=",0)</f>
        <v>0</v>
      </c>
      <c r="HR6">
        <f>IF(GEO.!1:1,"AAAAAFQqf+E=",0)</f>
        <v>0</v>
      </c>
      <c r="HS6" t="e">
        <f>AND(GEO.!A1,"AAAAAFQqf+I=")</f>
        <v>#VALUE!</v>
      </c>
      <c r="HT6" t="e">
        <f>AND(GEO.!B1,"AAAAAFQqf+M=")</f>
        <v>#VALUE!</v>
      </c>
      <c r="HU6" t="e">
        <f>AND(GEO.!C1,"AAAAAFQqf+Q=")</f>
        <v>#VALUE!</v>
      </c>
      <c r="HV6" t="e">
        <f>AND(GEO.!D1,"AAAAAFQqf+U=")</f>
        <v>#VALUE!</v>
      </c>
      <c r="HW6" t="e">
        <f>AND(GEO.!E1,"AAAAAFQqf+Y=")</f>
        <v>#VALUE!</v>
      </c>
      <c r="HX6" t="e">
        <f>AND(GEO.!F1,"AAAAAFQqf+c=")</f>
        <v>#VALUE!</v>
      </c>
      <c r="HY6" t="e">
        <f>AND(GEO.!G1,"AAAAAFQqf+g=")</f>
        <v>#VALUE!</v>
      </c>
      <c r="HZ6" t="e">
        <f>AND(GEO.!H1,"AAAAAFQqf+k=")</f>
        <v>#VALUE!</v>
      </c>
      <c r="IA6" t="e">
        <f>AND(GEO.!I1,"AAAAAFQqf+o=")</f>
        <v>#VALUE!</v>
      </c>
      <c r="IB6" t="e">
        <f>AND(GEO.!J1,"AAAAAFQqf+s=")</f>
        <v>#VALUE!</v>
      </c>
      <c r="IC6" t="e">
        <f>AND(GEO.!K1,"AAAAAFQqf+w=")</f>
        <v>#VALUE!</v>
      </c>
      <c r="ID6" t="e">
        <f>AND(GEO.!L1,"AAAAAFQqf+0=")</f>
        <v>#VALUE!</v>
      </c>
      <c r="IE6">
        <f>IF(GEO.!2:2,"AAAAAFQqf+4=",0)</f>
        <v>0</v>
      </c>
      <c r="IF6" t="e">
        <f>AND(GEO.!A2,"AAAAAFQqf+8=")</f>
        <v>#VALUE!</v>
      </c>
      <c r="IG6" t="e">
        <f>AND(GEO.!B2,"AAAAAFQqf/A=")</f>
        <v>#VALUE!</v>
      </c>
      <c r="IH6" t="e">
        <f>AND(GEO.!C2,"AAAAAFQqf/E=")</f>
        <v>#VALUE!</v>
      </c>
      <c r="II6" t="e">
        <f>AND(GEO.!D2,"AAAAAFQqf/I=")</f>
        <v>#VALUE!</v>
      </c>
      <c r="IJ6" t="e">
        <f>AND(GEO.!E2,"AAAAAFQqf/M=")</f>
        <v>#VALUE!</v>
      </c>
      <c r="IK6" t="e">
        <f>AND(GEO.!F2,"AAAAAFQqf/Q=")</f>
        <v>#VALUE!</v>
      </c>
      <c r="IL6" t="e">
        <f>AND(GEO.!G2,"AAAAAFQqf/U=")</f>
        <v>#VALUE!</v>
      </c>
      <c r="IM6" t="e">
        <f>AND(GEO.!H2,"AAAAAFQqf/Y=")</f>
        <v>#VALUE!</v>
      </c>
      <c r="IN6" t="e">
        <f>AND(GEO.!I2,"AAAAAFQqf/c=")</f>
        <v>#VALUE!</v>
      </c>
      <c r="IO6" t="e">
        <f>AND(GEO.!J2,"AAAAAFQqf/g=")</f>
        <v>#VALUE!</v>
      </c>
      <c r="IP6" t="e">
        <f>AND(GEO.!K2,"AAAAAFQqf/k=")</f>
        <v>#VALUE!</v>
      </c>
      <c r="IQ6" t="e">
        <f>AND(GEO.!L2,"AAAAAFQqf/o=")</f>
        <v>#VALUE!</v>
      </c>
      <c r="IR6">
        <f>IF(GEO.!3:3,"AAAAAFQqf/s=",0)</f>
        <v>0</v>
      </c>
      <c r="IS6" t="e">
        <f>AND(GEO.!A3,"AAAAAFQqf/w=")</f>
        <v>#VALUE!</v>
      </c>
      <c r="IT6" t="e">
        <f>AND(GEO.!B3,"AAAAAFQqf/0=")</f>
        <v>#VALUE!</v>
      </c>
      <c r="IU6" t="e">
        <f>AND(GEO.!C3,"AAAAAFQqf/4=")</f>
        <v>#VALUE!</v>
      </c>
      <c r="IV6" t="e">
        <f>AND(GEO.!D3,"AAAAAFQqf/8=")</f>
        <v>#VALUE!</v>
      </c>
    </row>
    <row r="7" spans="1:256">
      <c r="A7" t="e">
        <f>AND(GEO.!E3,"AAAAAG3/7wA=")</f>
        <v>#VALUE!</v>
      </c>
      <c r="B7" t="e">
        <f>AND(GEO.!F3,"AAAAAG3/7wE=")</f>
        <v>#VALUE!</v>
      </c>
      <c r="C7" t="e">
        <f>AND(GEO.!G3,"AAAAAG3/7wI=")</f>
        <v>#VALUE!</v>
      </c>
      <c r="D7" t="e">
        <f>AND(GEO.!H3,"AAAAAG3/7wM=")</f>
        <v>#VALUE!</v>
      </c>
      <c r="E7" t="e">
        <f>AND(GEO.!I3,"AAAAAG3/7wQ=")</f>
        <v>#VALUE!</v>
      </c>
      <c r="F7" t="e">
        <f>AND(GEO.!J3,"AAAAAG3/7wU=")</f>
        <v>#VALUE!</v>
      </c>
      <c r="G7" t="e">
        <f>AND(GEO.!K3,"AAAAAG3/7wY=")</f>
        <v>#VALUE!</v>
      </c>
      <c r="H7" t="e">
        <f>AND(GEO.!L3,"AAAAAG3/7wc=")</f>
        <v>#VALUE!</v>
      </c>
      <c r="I7">
        <f>IF(GEO.!4:4,"AAAAAG3/7wg=",0)</f>
        <v>0</v>
      </c>
      <c r="J7" t="e">
        <f>AND(GEO.!A4,"AAAAAG3/7wk=")</f>
        <v>#VALUE!</v>
      </c>
      <c r="K7" t="e">
        <f>AND(GEO.!B4,"AAAAAG3/7wo=")</f>
        <v>#VALUE!</v>
      </c>
      <c r="L7" t="e">
        <f>AND(GEO.!C4,"AAAAAG3/7ws=")</f>
        <v>#VALUE!</v>
      </c>
      <c r="M7" t="e">
        <f>AND(GEO.!D4,"AAAAAG3/7ww=")</f>
        <v>#VALUE!</v>
      </c>
      <c r="N7" t="e">
        <f>AND(GEO.!E4,"AAAAAG3/7w0=")</f>
        <v>#VALUE!</v>
      </c>
      <c r="O7" t="e">
        <f>AND(GEO.!F4,"AAAAAG3/7w4=")</f>
        <v>#VALUE!</v>
      </c>
      <c r="P7" t="e">
        <f>AND(GEO.!G4,"AAAAAG3/7w8=")</f>
        <v>#VALUE!</v>
      </c>
      <c r="Q7" t="e">
        <f>AND(GEO.!H4,"AAAAAG3/7xA=")</f>
        <v>#VALUE!</v>
      </c>
      <c r="R7" t="e">
        <f>AND(GEO.!I4,"AAAAAG3/7xE=")</f>
        <v>#VALUE!</v>
      </c>
      <c r="S7" t="e">
        <f>AND(GEO.!J4,"AAAAAG3/7xI=")</f>
        <v>#VALUE!</v>
      </c>
      <c r="T7" t="e">
        <f>AND(GEO.!K4,"AAAAAG3/7xM=")</f>
        <v>#VALUE!</v>
      </c>
      <c r="U7" t="e">
        <f>AND(GEO.!L4,"AAAAAG3/7xQ=")</f>
        <v>#VALUE!</v>
      </c>
      <c r="V7">
        <f>IF(GEO.!5:5,"AAAAAG3/7xU=",0)</f>
        <v>0</v>
      </c>
      <c r="W7" t="e">
        <f>AND(GEO.!A5,"AAAAAG3/7xY=")</f>
        <v>#VALUE!</v>
      </c>
      <c r="X7" t="e">
        <f>AND(GEO.!B5,"AAAAAG3/7xc=")</f>
        <v>#VALUE!</v>
      </c>
      <c r="Y7" t="e">
        <f>AND(GEO.!C5,"AAAAAG3/7xg=")</f>
        <v>#VALUE!</v>
      </c>
      <c r="Z7" t="e">
        <f>AND(GEO.!D5,"AAAAAG3/7xk=")</f>
        <v>#VALUE!</v>
      </c>
      <c r="AA7" t="e">
        <f>AND(GEO.!E5,"AAAAAG3/7xo=")</f>
        <v>#VALUE!</v>
      </c>
      <c r="AB7" t="e">
        <f>AND(GEO.!F5,"AAAAAG3/7xs=")</f>
        <v>#VALUE!</v>
      </c>
      <c r="AC7" t="e">
        <f>AND(GEO.!G5,"AAAAAG3/7xw=")</f>
        <v>#VALUE!</v>
      </c>
      <c r="AD7" t="e">
        <f>AND(GEO.!H5,"AAAAAG3/7x0=")</f>
        <v>#VALUE!</v>
      </c>
      <c r="AE7" t="e">
        <f>AND(GEO.!I5,"AAAAAG3/7x4=")</f>
        <v>#VALUE!</v>
      </c>
      <c r="AF7" t="e">
        <f>AND(GEO.!J5,"AAAAAG3/7x8=")</f>
        <v>#VALUE!</v>
      </c>
      <c r="AG7" t="e">
        <f>AND(GEO.!K5,"AAAAAG3/7yA=")</f>
        <v>#VALUE!</v>
      </c>
      <c r="AH7" t="e">
        <f>AND(GEO.!L5,"AAAAAG3/7yE=")</f>
        <v>#VALUE!</v>
      </c>
      <c r="AI7">
        <f>IF(GEO.!6:6,"AAAAAG3/7yI=",0)</f>
        <v>0</v>
      </c>
      <c r="AJ7" t="e">
        <f>AND(GEO.!A6,"AAAAAG3/7yM=")</f>
        <v>#VALUE!</v>
      </c>
      <c r="AK7" t="e">
        <f>AND(GEO.!B6,"AAAAAG3/7yQ=")</f>
        <v>#VALUE!</v>
      </c>
      <c r="AL7" t="e">
        <f>AND(GEO.!C6,"AAAAAG3/7yU=")</f>
        <v>#VALUE!</v>
      </c>
      <c r="AM7" t="e">
        <f>AND(GEO.!D6,"AAAAAG3/7yY=")</f>
        <v>#VALUE!</v>
      </c>
      <c r="AN7" t="e">
        <f>AND(GEO.!E6,"AAAAAG3/7yc=")</f>
        <v>#VALUE!</v>
      </c>
      <c r="AO7" t="e">
        <f>AND(GEO.!F6,"AAAAAG3/7yg=")</f>
        <v>#VALUE!</v>
      </c>
      <c r="AP7" t="e">
        <f>AND(GEO.!G6,"AAAAAG3/7yk=")</f>
        <v>#VALUE!</v>
      </c>
      <c r="AQ7" t="e">
        <f>AND(GEO.!H6,"AAAAAG3/7yo=")</f>
        <v>#VALUE!</v>
      </c>
      <c r="AR7" t="e">
        <f>AND(GEO.!I6,"AAAAAG3/7ys=")</f>
        <v>#VALUE!</v>
      </c>
      <c r="AS7" t="e">
        <f>AND(GEO.!J6,"AAAAAG3/7yw=")</f>
        <v>#VALUE!</v>
      </c>
      <c r="AT7" t="e">
        <f>AND(GEO.!K6,"AAAAAG3/7y0=")</f>
        <v>#VALUE!</v>
      </c>
      <c r="AU7" t="e">
        <f>AND(GEO.!L6,"AAAAAG3/7y4=")</f>
        <v>#VALUE!</v>
      </c>
      <c r="AV7">
        <f>IF(GEO.!7:7,"AAAAAG3/7y8=",0)</f>
        <v>0</v>
      </c>
      <c r="AW7" t="e">
        <f>AND(GEO.!A7,"AAAAAG3/7zA=")</f>
        <v>#VALUE!</v>
      </c>
      <c r="AX7" t="e">
        <f>AND(GEO.!B7,"AAAAAG3/7zE=")</f>
        <v>#VALUE!</v>
      </c>
      <c r="AY7" t="e">
        <f>AND(GEO.!C7,"AAAAAG3/7zI=")</f>
        <v>#VALUE!</v>
      </c>
      <c r="AZ7" t="e">
        <f>AND(GEO.!D7,"AAAAAG3/7zM=")</f>
        <v>#VALUE!</v>
      </c>
      <c r="BA7" t="e">
        <f>AND(GEO.!E7,"AAAAAG3/7zQ=")</f>
        <v>#VALUE!</v>
      </c>
      <c r="BB7" t="e">
        <f>AND(GEO.!F7,"AAAAAG3/7zU=")</f>
        <v>#VALUE!</v>
      </c>
      <c r="BC7" t="e">
        <f>AND(GEO.!G7,"AAAAAG3/7zY=")</f>
        <v>#VALUE!</v>
      </c>
      <c r="BD7" t="e">
        <f>AND(GEO.!H7,"AAAAAG3/7zc=")</f>
        <v>#VALUE!</v>
      </c>
      <c r="BE7" t="e">
        <f>AND(GEO.!I7,"AAAAAG3/7zg=")</f>
        <v>#VALUE!</v>
      </c>
      <c r="BF7" t="e">
        <f>AND(GEO.!J7,"AAAAAG3/7zk=")</f>
        <v>#VALUE!</v>
      </c>
      <c r="BG7" t="e">
        <f>AND(GEO.!K7,"AAAAAG3/7zo=")</f>
        <v>#VALUE!</v>
      </c>
      <c r="BH7" t="e">
        <f>AND(GEO.!L7,"AAAAAG3/7zs=")</f>
        <v>#VALUE!</v>
      </c>
      <c r="BI7">
        <f>IF(GEO.!8:8,"AAAAAG3/7zw=",0)</f>
        <v>0</v>
      </c>
      <c r="BJ7" t="e">
        <f>AND(GEO.!A8,"AAAAAG3/7z0=")</f>
        <v>#VALUE!</v>
      </c>
      <c r="BK7" t="e">
        <f>AND(GEO.!B8,"AAAAAG3/7z4=")</f>
        <v>#VALUE!</v>
      </c>
      <c r="BL7" t="e">
        <f>AND(GEO.!C8,"AAAAAG3/7z8=")</f>
        <v>#VALUE!</v>
      </c>
      <c r="BM7" t="e">
        <f>AND(GEO.!D8,"AAAAAG3/70A=")</f>
        <v>#VALUE!</v>
      </c>
      <c r="BN7" t="e">
        <f>AND(GEO.!E8,"AAAAAG3/70E=")</f>
        <v>#VALUE!</v>
      </c>
      <c r="BO7" t="e">
        <f>AND(GEO.!F8,"AAAAAG3/70I=")</f>
        <v>#VALUE!</v>
      </c>
      <c r="BP7" t="e">
        <f>AND(GEO.!G8,"AAAAAG3/70M=")</f>
        <v>#VALUE!</v>
      </c>
      <c r="BQ7" t="e">
        <f>AND(GEO.!H8,"AAAAAG3/70Q=")</f>
        <v>#VALUE!</v>
      </c>
      <c r="BR7" t="e">
        <f>AND(GEO.!I8,"AAAAAG3/70U=")</f>
        <v>#VALUE!</v>
      </c>
      <c r="BS7" t="e">
        <f>AND(GEO.!J8,"AAAAAG3/70Y=")</f>
        <v>#VALUE!</v>
      </c>
      <c r="BT7" t="e">
        <f>AND(GEO.!K8,"AAAAAG3/70c=")</f>
        <v>#VALUE!</v>
      </c>
      <c r="BU7" t="e">
        <f>AND(GEO.!L8,"AAAAAG3/70g=")</f>
        <v>#VALUE!</v>
      </c>
      <c r="BV7">
        <f>IF(GEO.!9:9,"AAAAAG3/70k=",0)</f>
        <v>0</v>
      </c>
      <c r="BW7" t="e">
        <f>AND(GEO.!A9,"AAAAAG3/70o=")</f>
        <v>#VALUE!</v>
      </c>
      <c r="BX7" t="e">
        <f>AND(GEO.!B9,"AAAAAG3/70s=")</f>
        <v>#VALUE!</v>
      </c>
      <c r="BY7" t="e">
        <f>AND(GEO.!C9,"AAAAAG3/70w=")</f>
        <v>#VALUE!</v>
      </c>
      <c r="BZ7" t="e">
        <f>AND(GEO.!D9,"AAAAAG3/700=")</f>
        <v>#VALUE!</v>
      </c>
      <c r="CA7" t="e">
        <f>AND(GEO.!E9,"AAAAAG3/704=")</f>
        <v>#VALUE!</v>
      </c>
      <c r="CB7" t="e">
        <f>AND(GEO.!F9,"AAAAAG3/708=")</f>
        <v>#VALUE!</v>
      </c>
      <c r="CC7" t="e">
        <f>AND(GEO.!G9,"AAAAAG3/71A=")</f>
        <v>#VALUE!</v>
      </c>
      <c r="CD7" t="e">
        <f>AND(GEO.!H9,"AAAAAG3/71E=")</f>
        <v>#VALUE!</v>
      </c>
      <c r="CE7" t="e">
        <f>AND(GEO.!I9,"AAAAAG3/71I=")</f>
        <v>#VALUE!</v>
      </c>
      <c r="CF7" t="e">
        <f>AND(GEO.!J9,"AAAAAG3/71M=")</f>
        <v>#VALUE!</v>
      </c>
      <c r="CG7" t="e">
        <f>AND(GEO.!K9,"AAAAAG3/71Q=")</f>
        <v>#VALUE!</v>
      </c>
      <c r="CH7" t="e">
        <f>AND(GEO.!L9,"AAAAAG3/71U=")</f>
        <v>#VALUE!</v>
      </c>
      <c r="CI7">
        <f>IF(GEO.!10:10,"AAAAAG3/71Y=",0)</f>
        <v>0</v>
      </c>
      <c r="CJ7" t="e">
        <f>AND(GEO.!A10,"AAAAAG3/71c=")</f>
        <v>#VALUE!</v>
      </c>
      <c r="CK7" t="e">
        <f>AND(GEO.!B10,"AAAAAG3/71g=")</f>
        <v>#VALUE!</v>
      </c>
      <c r="CL7" t="e">
        <f>AND(GEO.!C10,"AAAAAG3/71k=")</f>
        <v>#VALUE!</v>
      </c>
      <c r="CM7" t="e">
        <f>AND(GEO.!D10,"AAAAAG3/71o=")</f>
        <v>#VALUE!</v>
      </c>
      <c r="CN7" t="e">
        <f>AND(GEO.!E10,"AAAAAG3/71s=")</f>
        <v>#VALUE!</v>
      </c>
      <c r="CO7" t="e">
        <f>AND(GEO.!F10,"AAAAAG3/71w=")</f>
        <v>#VALUE!</v>
      </c>
      <c r="CP7" t="e">
        <f>AND(GEO.!G10,"AAAAAG3/710=")</f>
        <v>#VALUE!</v>
      </c>
      <c r="CQ7" t="e">
        <f>AND(GEO.!H10,"AAAAAG3/714=")</f>
        <v>#VALUE!</v>
      </c>
      <c r="CR7" t="e">
        <f>AND(GEO.!I10,"AAAAAG3/718=")</f>
        <v>#VALUE!</v>
      </c>
      <c r="CS7" t="e">
        <f>AND(GEO.!J10,"AAAAAG3/72A=")</f>
        <v>#VALUE!</v>
      </c>
      <c r="CT7" t="e">
        <f>AND(GEO.!K10,"AAAAAG3/72E=")</f>
        <v>#VALUE!</v>
      </c>
      <c r="CU7" t="e">
        <f>AND(GEO.!L10,"AAAAAG3/72I=")</f>
        <v>#VALUE!</v>
      </c>
      <c r="CV7">
        <f>IF(GEO.!11:11,"AAAAAG3/72M=",0)</f>
        <v>0</v>
      </c>
      <c r="CW7" t="e">
        <f>AND(GEO.!A11,"AAAAAG3/72Q=")</f>
        <v>#VALUE!</v>
      </c>
      <c r="CX7" t="e">
        <f>AND(GEO.!B11,"AAAAAG3/72U=")</f>
        <v>#VALUE!</v>
      </c>
      <c r="CY7" t="e">
        <f>AND(GEO.!C11,"AAAAAG3/72Y=")</f>
        <v>#VALUE!</v>
      </c>
      <c r="CZ7" t="e">
        <f>AND(GEO.!D11,"AAAAAG3/72c=")</f>
        <v>#VALUE!</v>
      </c>
      <c r="DA7" t="e">
        <f>AND(GEO.!E11,"AAAAAG3/72g=")</f>
        <v>#VALUE!</v>
      </c>
      <c r="DB7" t="e">
        <f>AND(GEO.!F11,"AAAAAG3/72k=")</f>
        <v>#VALUE!</v>
      </c>
      <c r="DC7" t="e">
        <f>AND(GEO.!G11,"AAAAAG3/72o=")</f>
        <v>#VALUE!</v>
      </c>
      <c r="DD7" t="e">
        <f>AND(GEO.!H11,"AAAAAG3/72s=")</f>
        <v>#VALUE!</v>
      </c>
      <c r="DE7" t="e">
        <f>AND(GEO.!I11,"AAAAAG3/72w=")</f>
        <v>#VALUE!</v>
      </c>
      <c r="DF7" t="e">
        <f>AND(GEO.!J11,"AAAAAG3/720=")</f>
        <v>#VALUE!</v>
      </c>
      <c r="DG7" t="e">
        <f>AND(GEO.!K11,"AAAAAG3/724=")</f>
        <v>#VALUE!</v>
      </c>
      <c r="DH7" t="e">
        <f>AND(GEO.!L11,"AAAAAG3/728=")</f>
        <v>#VALUE!</v>
      </c>
      <c r="DI7">
        <f>IF(GEO.!12:12,"AAAAAG3/73A=",0)</f>
        <v>0</v>
      </c>
      <c r="DJ7" t="e">
        <f>AND(GEO.!A12,"AAAAAG3/73E=")</f>
        <v>#VALUE!</v>
      </c>
      <c r="DK7" t="e">
        <f>AND(GEO.!B12,"AAAAAG3/73I=")</f>
        <v>#VALUE!</v>
      </c>
      <c r="DL7" t="e">
        <f>AND(GEO.!C12,"AAAAAG3/73M=")</f>
        <v>#VALUE!</v>
      </c>
      <c r="DM7" t="e">
        <f>AND(GEO.!D12,"AAAAAG3/73Q=")</f>
        <v>#VALUE!</v>
      </c>
      <c r="DN7" t="e">
        <f>AND(GEO.!E12,"AAAAAG3/73U=")</f>
        <v>#VALUE!</v>
      </c>
      <c r="DO7" t="e">
        <f>AND(GEO.!F12,"AAAAAG3/73Y=")</f>
        <v>#VALUE!</v>
      </c>
      <c r="DP7" t="e">
        <f>AND(GEO.!G12,"AAAAAG3/73c=")</f>
        <v>#VALUE!</v>
      </c>
      <c r="DQ7" t="e">
        <f>AND(GEO.!H12,"AAAAAG3/73g=")</f>
        <v>#VALUE!</v>
      </c>
      <c r="DR7" t="e">
        <f>AND(GEO.!I12,"AAAAAG3/73k=")</f>
        <v>#VALUE!</v>
      </c>
      <c r="DS7" t="e">
        <f>AND(GEO.!J12,"AAAAAG3/73o=")</f>
        <v>#VALUE!</v>
      </c>
      <c r="DT7" t="e">
        <f>AND(GEO.!K12,"AAAAAG3/73s=")</f>
        <v>#VALUE!</v>
      </c>
      <c r="DU7" t="e">
        <f>AND(GEO.!L12,"AAAAAG3/73w=")</f>
        <v>#VALUE!</v>
      </c>
      <c r="DV7">
        <f>IF(GEO.!13:13,"AAAAAG3/730=",0)</f>
        <v>0</v>
      </c>
      <c r="DW7" t="e">
        <f>AND(GEO.!A13,"AAAAAG3/734=")</f>
        <v>#VALUE!</v>
      </c>
      <c r="DX7" t="e">
        <f>AND(GEO.!B13,"AAAAAG3/738=")</f>
        <v>#VALUE!</v>
      </c>
      <c r="DY7" t="e">
        <f>AND(GEO.!C13,"AAAAAG3/74A=")</f>
        <v>#VALUE!</v>
      </c>
      <c r="DZ7" t="e">
        <f>AND(GEO.!D13,"AAAAAG3/74E=")</f>
        <v>#VALUE!</v>
      </c>
      <c r="EA7" t="e">
        <f>AND(GEO.!E13,"AAAAAG3/74I=")</f>
        <v>#VALUE!</v>
      </c>
      <c r="EB7" t="e">
        <f>AND(GEO.!F13,"AAAAAG3/74M=")</f>
        <v>#VALUE!</v>
      </c>
      <c r="EC7" t="e">
        <f>AND(GEO.!G13,"AAAAAG3/74Q=")</f>
        <v>#VALUE!</v>
      </c>
      <c r="ED7" t="e">
        <f>AND(GEO.!H13,"AAAAAG3/74U=")</f>
        <v>#VALUE!</v>
      </c>
      <c r="EE7" t="e">
        <f>AND(GEO.!I13,"AAAAAG3/74Y=")</f>
        <v>#VALUE!</v>
      </c>
      <c r="EF7" t="e">
        <f>AND(GEO.!J13,"AAAAAG3/74c=")</f>
        <v>#VALUE!</v>
      </c>
      <c r="EG7" t="e">
        <f>AND(GEO.!K13,"AAAAAG3/74g=")</f>
        <v>#VALUE!</v>
      </c>
      <c r="EH7" t="e">
        <f>AND(GEO.!L13,"AAAAAG3/74k=")</f>
        <v>#VALUE!</v>
      </c>
      <c r="EI7">
        <f>IF(GEO.!14:14,"AAAAAG3/74o=",0)</f>
        <v>0</v>
      </c>
      <c r="EJ7" t="e">
        <f>AND(GEO.!A14,"AAAAAG3/74s=")</f>
        <v>#VALUE!</v>
      </c>
      <c r="EK7" t="e">
        <f>AND(GEO.!B14,"AAAAAG3/74w=")</f>
        <v>#VALUE!</v>
      </c>
      <c r="EL7" t="e">
        <f>AND(GEO.!C14,"AAAAAG3/740=")</f>
        <v>#VALUE!</v>
      </c>
      <c r="EM7" t="e">
        <f>AND(GEO.!D14,"AAAAAG3/744=")</f>
        <v>#VALUE!</v>
      </c>
      <c r="EN7" t="e">
        <f>AND(GEO.!E14,"AAAAAG3/748=")</f>
        <v>#VALUE!</v>
      </c>
      <c r="EO7" t="e">
        <f>AND(GEO.!F14,"AAAAAG3/75A=")</f>
        <v>#VALUE!</v>
      </c>
      <c r="EP7" t="e">
        <f>AND(GEO.!G14,"AAAAAG3/75E=")</f>
        <v>#VALUE!</v>
      </c>
      <c r="EQ7" t="e">
        <f>AND(GEO.!H14,"AAAAAG3/75I=")</f>
        <v>#VALUE!</v>
      </c>
      <c r="ER7" t="e">
        <f>AND(GEO.!I14,"AAAAAG3/75M=")</f>
        <v>#VALUE!</v>
      </c>
      <c r="ES7" t="e">
        <f>AND(GEO.!J14,"AAAAAG3/75Q=")</f>
        <v>#VALUE!</v>
      </c>
      <c r="ET7" t="e">
        <f>AND(GEO.!K14,"AAAAAG3/75U=")</f>
        <v>#VALUE!</v>
      </c>
      <c r="EU7" t="e">
        <f>AND(GEO.!L14,"AAAAAG3/75Y=")</f>
        <v>#VALUE!</v>
      </c>
      <c r="EV7">
        <f>IF(GEO.!15:15,"AAAAAG3/75c=",0)</f>
        <v>0</v>
      </c>
      <c r="EW7" t="e">
        <f>AND(GEO.!A15,"AAAAAG3/75g=")</f>
        <v>#VALUE!</v>
      </c>
      <c r="EX7" t="e">
        <f>AND(GEO.!B15,"AAAAAG3/75k=")</f>
        <v>#VALUE!</v>
      </c>
      <c r="EY7" t="e">
        <f>AND(GEO.!C15,"AAAAAG3/75o=")</f>
        <v>#VALUE!</v>
      </c>
      <c r="EZ7" t="e">
        <f>AND(GEO.!D15,"AAAAAG3/75s=")</f>
        <v>#VALUE!</v>
      </c>
      <c r="FA7" t="e">
        <f>AND(GEO.!E15,"AAAAAG3/75w=")</f>
        <v>#VALUE!</v>
      </c>
      <c r="FB7" t="e">
        <f>AND(GEO.!F15,"AAAAAG3/750=")</f>
        <v>#VALUE!</v>
      </c>
      <c r="FC7" t="e">
        <f>AND(GEO.!G15,"AAAAAG3/754=")</f>
        <v>#VALUE!</v>
      </c>
      <c r="FD7" t="e">
        <f>AND(GEO.!H15,"AAAAAG3/758=")</f>
        <v>#VALUE!</v>
      </c>
      <c r="FE7" t="e">
        <f>AND(GEO.!I15,"AAAAAG3/76A=")</f>
        <v>#VALUE!</v>
      </c>
      <c r="FF7" t="e">
        <f>AND(GEO.!J15,"AAAAAG3/76E=")</f>
        <v>#VALUE!</v>
      </c>
      <c r="FG7" t="e">
        <f>AND(GEO.!K15,"AAAAAG3/76I=")</f>
        <v>#VALUE!</v>
      </c>
      <c r="FH7" t="e">
        <f>AND(GEO.!L15,"AAAAAG3/76M=")</f>
        <v>#VALUE!</v>
      </c>
      <c r="FI7">
        <f>IF(GEO.!16:16,"AAAAAG3/76Q=",0)</f>
        <v>0</v>
      </c>
      <c r="FJ7" t="e">
        <f>AND(GEO.!A16,"AAAAAG3/76U=")</f>
        <v>#VALUE!</v>
      </c>
      <c r="FK7" t="e">
        <f>AND(GEO.!B16,"AAAAAG3/76Y=")</f>
        <v>#VALUE!</v>
      </c>
      <c r="FL7" t="e">
        <f>AND(GEO.!C16,"AAAAAG3/76c=")</f>
        <v>#VALUE!</v>
      </c>
      <c r="FM7" t="e">
        <f>AND(GEO.!D16,"AAAAAG3/76g=")</f>
        <v>#VALUE!</v>
      </c>
      <c r="FN7" t="e">
        <f>AND(GEO.!E16,"AAAAAG3/76k=")</f>
        <v>#VALUE!</v>
      </c>
      <c r="FO7" t="e">
        <f>AND(GEO.!F16,"AAAAAG3/76o=")</f>
        <v>#VALUE!</v>
      </c>
      <c r="FP7" t="e">
        <f>AND(GEO.!G16,"AAAAAG3/76s=")</f>
        <v>#VALUE!</v>
      </c>
      <c r="FQ7" t="e">
        <f>AND(GEO.!H16,"AAAAAG3/76w=")</f>
        <v>#VALUE!</v>
      </c>
      <c r="FR7" t="e">
        <f>AND(GEO.!I16,"AAAAAG3/760=")</f>
        <v>#VALUE!</v>
      </c>
      <c r="FS7" t="e">
        <f>AND(GEO.!J16,"AAAAAG3/764=")</f>
        <v>#VALUE!</v>
      </c>
      <c r="FT7" t="e">
        <f>AND(GEO.!K16,"AAAAAG3/768=")</f>
        <v>#VALUE!</v>
      </c>
      <c r="FU7" t="e">
        <f>AND(GEO.!L16,"AAAAAG3/77A=")</f>
        <v>#VALUE!</v>
      </c>
      <c r="FV7">
        <f>IF(GEO.!17:17,"AAAAAG3/77E=",0)</f>
        <v>0</v>
      </c>
      <c r="FW7" t="e">
        <f>AND(GEO.!A17,"AAAAAG3/77I=")</f>
        <v>#VALUE!</v>
      </c>
      <c r="FX7" t="e">
        <f>AND(GEO.!B17,"AAAAAG3/77M=")</f>
        <v>#VALUE!</v>
      </c>
      <c r="FY7" t="e">
        <f>AND(GEO.!C17,"AAAAAG3/77Q=")</f>
        <v>#VALUE!</v>
      </c>
      <c r="FZ7" t="e">
        <f>AND(GEO.!D17,"AAAAAG3/77U=")</f>
        <v>#VALUE!</v>
      </c>
      <c r="GA7" t="e">
        <f>AND(GEO.!E17,"AAAAAG3/77Y=")</f>
        <v>#VALUE!</v>
      </c>
      <c r="GB7" t="e">
        <f>AND(GEO.!F17,"AAAAAG3/77c=")</f>
        <v>#VALUE!</v>
      </c>
      <c r="GC7" t="e">
        <f>AND(GEO.!G17,"AAAAAG3/77g=")</f>
        <v>#VALUE!</v>
      </c>
      <c r="GD7" t="e">
        <f>AND(GEO.!H17,"AAAAAG3/77k=")</f>
        <v>#VALUE!</v>
      </c>
      <c r="GE7" t="e">
        <f>AND(GEO.!I17,"AAAAAG3/77o=")</f>
        <v>#VALUE!</v>
      </c>
      <c r="GF7" t="e">
        <f>AND(GEO.!J17,"AAAAAG3/77s=")</f>
        <v>#VALUE!</v>
      </c>
      <c r="GG7" t="e">
        <f>AND(GEO.!K17,"AAAAAG3/77w=")</f>
        <v>#VALUE!</v>
      </c>
      <c r="GH7" t="e">
        <f>AND(GEO.!L17,"AAAAAG3/770=")</f>
        <v>#VALUE!</v>
      </c>
      <c r="GI7">
        <f>IF(GEO.!18:18,"AAAAAG3/774=",0)</f>
        <v>0</v>
      </c>
      <c r="GJ7" t="e">
        <f>AND(GEO.!A18,"AAAAAG3/778=")</f>
        <v>#VALUE!</v>
      </c>
      <c r="GK7" t="e">
        <f>AND(GEO.!B18,"AAAAAG3/78A=")</f>
        <v>#VALUE!</v>
      </c>
      <c r="GL7" t="e">
        <f>AND(GEO.!C18,"AAAAAG3/78E=")</f>
        <v>#VALUE!</v>
      </c>
      <c r="GM7" t="e">
        <f>AND(GEO.!D18,"AAAAAG3/78I=")</f>
        <v>#VALUE!</v>
      </c>
      <c r="GN7" t="e">
        <f>AND(GEO.!E18,"AAAAAG3/78M=")</f>
        <v>#VALUE!</v>
      </c>
      <c r="GO7" t="e">
        <f>AND(GEO.!F18,"AAAAAG3/78Q=")</f>
        <v>#VALUE!</v>
      </c>
      <c r="GP7" t="e">
        <f>AND(GEO.!G18,"AAAAAG3/78U=")</f>
        <v>#VALUE!</v>
      </c>
      <c r="GQ7" t="e">
        <f>AND(GEO.!H18,"AAAAAG3/78Y=")</f>
        <v>#VALUE!</v>
      </c>
      <c r="GR7" t="e">
        <f>AND(GEO.!I18,"AAAAAG3/78c=")</f>
        <v>#VALUE!</v>
      </c>
      <c r="GS7" t="e">
        <f>AND(GEO.!J18,"AAAAAG3/78g=")</f>
        <v>#VALUE!</v>
      </c>
      <c r="GT7" t="e">
        <f>AND(GEO.!K18,"AAAAAG3/78k=")</f>
        <v>#VALUE!</v>
      </c>
      <c r="GU7" t="e">
        <f>AND(GEO.!L18,"AAAAAG3/78o=")</f>
        <v>#VALUE!</v>
      </c>
      <c r="GV7">
        <f>IF(GEO.!19:19,"AAAAAG3/78s=",0)</f>
        <v>0</v>
      </c>
      <c r="GW7" t="e">
        <f>AND(GEO.!A19,"AAAAAG3/78w=")</f>
        <v>#VALUE!</v>
      </c>
      <c r="GX7" t="e">
        <f>AND(GEO.!B19,"AAAAAG3/780=")</f>
        <v>#VALUE!</v>
      </c>
      <c r="GY7" t="e">
        <f>AND(GEO.!C19,"AAAAAG3/784=")</f>
        <v>#VALUE!</v>
      </c>
      <c r="GZ7" t="e">
        <f>AND(GEO.!D19,"AAAAAG3/788=")</f>
        <v>#VALUE!</v>
      </c>
      <c r="HA7" t="e">
        <f>AND(GEO.!E19,"AAAAAG3/79A=")</f>
        <v>#VALUE!</v>
      </c>
      <c r="HB7" t="e">
        <f>AND(GEO.!F19,"AAAAAG3/79E=")</f>
        <v>#VALUE!</v>
      </c>
      <c r="HC7" t="e">
        <f>AND(GEO.!G19,"AAAAAG3/79I=")</f>
        <v>#VALUE!</v>
      </c>
      <c r="HD7" t="e">
        <f>AND(GEO.!H19,"AAAAAG3/79M=")</f>
        <v>#VALUE!</v>
      </c>
      <c r="HE7" t="e">
        <f>AND(GEO.!I19,"AAAAAG3/79Q=")</f>
        <v>#VALUE!</v>
      </c>
      <c r="HF7" t="e">
        <f>AND(GEO.!J19,"AAAAAG3/79U=")</f>
        <v>#VALUE!</v>
      </c>
      <c r="HG7" t="e">
        <f>AND(GEO.!K19,"AAAAAG3/79Y=")</f>
        <v>#VALUE!</v>
      </c>
      <c r="HH7" t="e">
        <f>AND(GEO.!L19,"AAAAAG3/79c=")</f>
        <v>#VALUE!</v>
      </c>
      <c r="HI7">
        <f>IF(GEO.!20:20,"AAAAAG3/79g=",0)</f>
        <v>0</v>
      </c>
      <c r="HJ7" t="e">
        <f>AND(GEO.!A20,"AAAAAG3/79k=")</f>
        <v>#VALUE!</v>
      </c>
      <c r="HK7" t="e">
        <f>AND(GEO.!B20,"AAAAAG3/79o=")</f>
        <v>#VALUE!</v>
      </c>
      <c r="HL7" t="e">
        <f>AND(GEO.!C20,"AAAAAG3/79s=")</f>
        <v>#VALUE!</v>
      </c>
      <c r="HM7" t="e">
        <f>AND(GEO.!D20,"AAAAAG3/79w=")</f>
        <v>#VALUE!</v>
      </c>
      <c r="HN7" t="e">
        <f>AND(GEO.!E20,"AAAAAG3/790=")</f>
        <v>#VALUE!</v>
      </c>
      <c r="HO7" t="e">
        <f>AND(GEO.!F20,"AAAAAG3/794=")</f>
        <v>#VALUE!</v>
      </c>
      <c r="HP7" t="e">
        <f>AND(GEO.!G20,"AAAAAG3/798=")</f>
        <v>#VALUE!</v>
      </c>
      <c r="HQ7" t="e">
        <f>AND(GEO.!H20,"AAAAAG3/7+A=")</f>
        <v>#VALUE!</v>
      </c>
      <c r="HR7" t="e">
        <f>AND(GEO.!I20,"AAAAAG3/7+E=")</f>
        <v>#VALUE!</v>
      </c>
      <c r="HS7" t="e">
        <f>AND(GEO.!J20,"AAAAAG3/7+I=")</f>
        <v>#VALUE!</v>
      </c>
      <c r="HT7" t="e">
        <f>AND(GEO.!K20,"AAAAAG3/7+M=")</f>
        <v>#VALUE!</v>
      </c>
      <c r="HU7" t="e">
        <f>AND(GEO.!L20,"AAAAAG3/7+Q=")</f>
        <v>#VALUE!</v>
      </c>
      <c r="HV7">
        <f>IF(GEO.!21:21,"AAAAAG3/7+U=",0)</f>
        <v>0</v>
      </c>
      <c r="HW7" t="e">
        <f>AND(GEO.!A21,"AAAAAG3/7+Y=")</f>
        <v>#VALUE!</v>
      </c>
      <c r="HX7" t="e">
        <f>AND(GEO.!B21,"AAAAAG3/7+c=")</f>
        <v>#VALUE!</v>
      </c>
      <c r="HY7" t="e">
        <f>AND(GEO.!C21,"AAAAAG3/7+g=")</f>
        <v>#VALUE!</v>
      </c>
      <c r="HZ7" t="e">
        <f>AND(GEO.!D21,"AAAAAG3/7+k=")</f>
        <v>#VALUE!</v>
      </c>
      <c r="IA7" t="e">
        <f>AND(GEO.!E21,"AAAAAG3/7+o=")</f>
        <v>#VALUE!</v>
      </c>
      <c r="IB7" t="e">
        <f>AND(GEO.!F21,"AAAAAG3/7+s=")</f>
        <v>#VALUE!</v>
      </c>
      <c r="IC7" t="e">
        <f>AND(GEO.!G21,"AAAAAG3/7+w=")</f>
        <v>#VALUE!</v>
      </c>
      <c r="ID7" t="e">
        <f>AND(GEO.!H21,"AAAAAG3/7+0=")</f>
        <v>#VALUE!</v>
      </c>
      <c r="IE7" t="e">
        <f>AND(GEO.!I21,"AAAAAG3/7+4=")</f>
        <v>#VALUE!</v>
      </c>
      <c r="IF7" t="e">
        <f>AND(GEO.!J21,"AAAAAG3/7+8=")</f>
        <v>#VALUE!</v>
      </c>
      <c r="IG7" t="e">
        <f>AND(GEO.!K21,"AAAAAG3/7/A=")</f>
        <v>#VALUE!</v>
      </c>
      <c r="IH7" t="e">
        <f>AND(GEO.!L21,"AAAAAG3/7/E=")</f>
        <v>#VALUE!</v>
      </c>
      <c r="II7">
        <f>IF(GEO.!22:22,"AAAAAG3/7/I=",0)</f>
        <v>0</v>
      </c>
      <c r="IJ7" t="e">
        <f>AND(GEO.!A22,"AAAAAG3/7/M=")</f>
        <v>#VALUE!</v>
      </c>
      <c r="IK7" t="e">
        <f>AND(GEO.!B22,"AAAAAG3/7/Q=")</f>
        <v>#VALUE!</v>
      </c>
      <c r="IL7" t="e">
        <f>AND(GEO.!C22,"AAAAAG3/7/U=")</f>
        <v>#VALUE!</v>
      </c>
      <c r="IM7" t="e">
        <f>AND(GEO.!D22,"AAAAAG3/7/Y=")</f>
        <v>#VALUE!</v>
      </c>
      <c r="IN7" t="e">
        <f>AND(GEO.!E22,"AAAAAG3/7/c=")</f>
        <v>#VALUE!</v>
      </c>
      <c r="IO7" t="e">
        <f>AND(GEO.!F22,"AAAAAG3/7/g=")</f>
        <v>#VALUE!</v>
      </c>
      <c r="IP7" t="e">
        <f>AND(GEO.!G22,"AAAAAG3/7/k=")</f>
        <v>#VALUE!</v>
      </c>
      <c r="IQ7" t="e">
        <f>AND(GEO.!H22,"AAAAAG3/7/o=")</f>
        <v>#VALUE!</v>
      </c>
      <c r="IR7" t="e">
        <f>AND(GEO.!I22,"AAAAAG3/7/s=")</f>
        <v>#VALUE!</v>
      </c>
      <c r="IS7" t="e">
        <f>AND(GEO.!J22,"AAAAAG3/7/w=")</f>
        <v>#VALUE!</v>
      </c>
      <c r="IT7" t="e">
        <f>AND(GEO.!K22,"AAAAAG3/7/0=")</f>
        <v>#VALUE!</v>
      </c>
      <c r="IU7" t="e">
        <f>AND(GEO.!L22,"AAAAAG3/7/4=")</f>
        <v>#VALUE!</v>
      </c>
      <c r="IV7">
        <f>IF(GEO.!23:23,"AAAAAG3/7/8=",0)</f>
        <v>0</v>
      </c>
    </row>
    <row r="8" spans="1:256">
      <c r="A8" t="e">
        <f>AND(GEO.!A23,"AAAAAB0uPwA=")</f>
        <v>#VALUE!</v>
      </c>
      <c r="B8" t="e">
        <f>AND(GEO.!B23,"AAAAAB0uPwE=")</f>
        <v>#VALUE!</v>
      </c>
      <c r="C8" t="e">
        <f>AND(GEO.!C23,"AAAAAB0uPwI=")</f>
        <v>#VALUE!</v>
      </c>
      <c r="D8" t="e">
        <f>AND(GEO.!D23,"AAAAAB0uPwM=")</f>
        <v>#VALUE!</v>
      </c>
      <c r="E8" t="e">
        <f>AND(GEO.!E23,"AAAAAB0uPwQ=")</f>
        <v>#VALUE!</v>
      </c>
      <c r="F8" t="e">
        <f>AND(GEO.!F23,"AAAAAB0uPwU=")</f>
        <v>#VALUE!</v>
      </c>
      <c r="G8" t="e">
        <f>AND(GEO.!G23,"AAAAAB0uPwY=")</f>
        <v>#VALUE!</v>
      </c>
      <c r="H8" t="e">
        <f>AND(GEO.!H23,"AAAAAB0uPwc=")</f>
        <v>#VALUE!</v>
      </c>
      <c r="I8" t="e">
        <f>AND(GEO.!I23,"AAAAAB0uPwg=")</f>
        <v>#VALUE!</v>
      </c>
      <c r="J8" t="e">
        <f>AND(GEO.!J23,"AAAAAB0uPwk=")</f>
        <v>#VALUE!</v>
      </c>
      <c r="K8" t="e">
        <f>AND(GEO.!K23,"AAAAAB0uPwo=")</f>
        <v>#VALUE!</v>
      </c>
      <c r="L8" t="e">
        <f>AND(GEO.!L23,"AAAAAB0uPws=")</f>
        <v>#VALUE!</v>
      </c>
      <c r="M8">
        <f>IF(GEO.!24:24,"AAAAAB0uPww=",0)</f>
        <v>0</v>
      </c>
      <c r="N8" t="e">
        <f>AND(GEO.!A24,"AAAAAB0uPw0=")</f>
        <v>#VALUE!</v>
      </c>
      <c r="O8" t="e">
        <f>AND(GEO.!B24,"AAAAAB0uPw4=")</f>
        <v>#VALUE!</v>
      </c>
      <c r="P8" t="e">
        <f>AND(GEO.!C24,"AAAAAB0uPw8=")</f>
        <v>#VALUE!</v>
      </c>
      <c r="Q8" t="e">
        <f>AND(GEO.!D24,"AAAAAB0uPxA=")</f>
        <v>#VALUE!</v>
      </c>
      <c r="R8" t="e">
        <f>AND(GEO.!E24,"AAAAAB0uPxE=")</f>
        <v>#VALUE!</v>
      </c>
      <c r="S8" t="e">
        <f>AND(GEO.!F24,"AAAAAB0uPxI=")</f>
        <v>#VALUE!</v>
      </c>
      <c r="T8" t="e">
        <f>AND(GEO.!G24,"AAAAAB0uPxM=")</f>
        <v>#VALUE!</v>
      </c>
      <c r="U8" t="e">
        <f>AND(GEO.!H24,"AAAAAB0uPxQ=")</f>
        <v>#VALUE!</v>
      </c>
      <c r="V8" t="e">
        <f>AND(GEO.!I24,"AAAAAB0uPxU=")</f>
        <v>#VALUE!</v>
      </c>
      <c r="W8" t="e">
        <f>AND(GEO.!J24,"AAAAAB0uPxY=")</f>
        <v>#VALUE!</v>
      </c>
      <c r="X8" t="e">
        <f>AND(GEO.!K24,"AAAAAB0uPxc=")</f>
        <v>#VALUE!</v>
      </c>
      <c r="Y8" t="e">
        <f>AND(GEO.!L24,"AAAAAB0uPxg=")</f>
        <v>#VALUE!</v>
      </c>
      <c r="Z8">
        <f>IF(GEO.!25:25,"AAAAAB0uPxk=",0)</f>
        <v>0</v>
      </c>
      <c r="AA8" t="e">
        <f>AND(GEO.!A25,"AAAAAB0uPxo=")</f>
        <v>#VALUE!</v>
      </c>
      <c r="AB8" t="e">
        <f>AND(GEO.!B25,"AAAAAB0uPxs=")</f>
        <v>#VALUE!</v>
      </c>
      <c r="AC8" t="e">
        <f>AND(GEO.!C25,"AAAAAB0uPxw=")</f>
        <v>#VALUE!</v>
      </c>
      <c r="AD8" t="e">
        <f>AND(GEO.!D25,"AAAAAB0uPx0=")</f>
        <v>#VALUE!</v>
      </c>
      <c r="AE8" t="e">
        <f>AND(GEO.!E25,"AAAAAB0uPx4=")</f>
        <v>#VALUE!</v>
      </c>
      <c r="AF8" t="e">
        <f>AND(GEO.!F25,"AAAAAB0uPx8=")</f>
        <v>#VALUE!</v>
      </c>
      <c r="AG8" t="e">
        <f>AND(GEO.!G25,"AAAAAB0uPyA=")</f>
        <v>#VALUE!</v>
      </c>
      <c r="AH8" t="e">
        <f>AND(GEO.!H25,"AAAAAB0uPyE=")</f>
        <v>#VALUE!</v>
      </c>
      <c r="AI8" t="e">
        <f>AND(GEO.!I25,"AAAAAB0uPyI=")</f>
        <v>#VALUE!</v>
      </c>
      <c r="AJ8" t="e">
        <f>AND(GEO.!J25,"AAAAAB0uPyM=")</f>
        <v>#VALUE!</v>
      </c>
      <c r="AK8" t="e">
        <f>AND(GEO.!K25,"AAAAAB0uPyQ=")</f>
        <v>#VALUE!</v>
      </c>
      <c r="AL8" t="e">
        <f>AND(GEO.!L25,"AAAAAB0uPyU=")</f>
        <v>#VALUE!</v>
      </c>
      <c r="AM8">
        <f>IF(GEO.!26:26,"AAAAAB0uPyY=",0)</f>
        <v>0</v>
      </c>
      <c r="AN8" t="e">
        <f>AND(GEO.!A26,"AAAAAB0uPyc=")</f>
        <v>#VALUE!</v>
      </c>
      <c r="AO8" t="e">
        <f>AND(GEO.!B26,"AAAAAB0uPyg=")</f>
        <v>#VALUE!</v>
      </c>
      <c r="AP8" t="e">
        <f>AND(GEO.!C26,"AAAAAB0uPyk=")</f>
        <v>#VALUE!</v>
      </c>
      <c r="AQ8" t="e">
        <f>AND(GEO.!D26,"AAAAAB0uPyo=")</f>
        <v>#VALUE!</v>
      </c>
      <c r="AR8" t="e">
        <f>AND(GEO.!E26,"AAAAAB0uPys=")</f>
        <v>#VALUE!</v>
      </c>
      <c r="AS8" t="e">
        <f>AND(GEO.!F26,"AAAAAB0uPyw=")</f>
        <v>#VALUE!</v>
      </c>
      <c r="AT8" t="e">
        <f>AND(GEO.!G26,"AAAAAB0uPy0=")</f>
        <v>#VALUE!</v>
      </c>
      <c r="AU8" t="e">
        <f>AND(GEO.!H26,"AAAAAB0uPy4=")</f>
        <v>#VALUE!</v>
      </c>
      <c r="AV8" t="e">
        <f>AND(GEO.!I26,"AAAAAB0uPy8=")</f>
        <v>#VALUE!</v>
      </c>
      <c r="AW8" t="e">
        <f>AND(GEO.!J26,"AAAAAB0uPzA=")</f>
        <v>#VALUE!</v>
      </c>
      <c r="AX8" t="e">
        <f>AND(GEO.!K26,"AAAAAB0uPzE=")</f>
        <v>#VALUE!</v>
      </c>
      <c r="AY8" t="e">
        <f>AND(GEO.!L26,"AAAAAB0uPzI=")</f>
        <v>#VALUE!</v>
      </c>
      <c r="AZ8">
        <f>IF(GEO.!27:27,"AAAAAB0uPzM=",0)</f>
        <v>0</v>
      </c>
      <c r="BA8" t="e">
        <f>AND(GEO.!A27,"AAAAAB0uPzQ=")</f>
        <v>#VALUE!</v>
      </c>
      <c r="BB8" t="e">
        <f>AND(GEO.!B27,"AAAAAB0uPzU=")</f>
        <v>#VALUE!</v>
      </c>
      <c r="BC8" t="e">
        <f>AND(GEO.!#REF!,"AAAAAB0uPzY=")</f>
        <v>#REF!</v>
      </c>
      <c r="BD8" t="e">
        <f>AND(GEO.!D27,"AAAAAB0uPzc=")</f>
        <v>#VALUE!</v>
      </c>
      <c r="BE8" t="e">
        <f>AND(GEO.!E27,"AAAAAB0uPzg=")</f>
        <v>#VALUE!</v>
      </c>
      <c r="BF8" t="e">
        <f>AND(GEO.!F27,"AAAAAB0uPzk=")</f>
        <v>#VALUE!</v>
      </c>
      <c r="BG8" t="e">
        <f>AND(GEO.!C27,"AAAAAB0uPzo=")</f>
        <v>#VALUE!</v>
      </c>
      <c r="BH8" t="e">
        <f>AND(GEO.!H27,"AAAAAB0uPzs=")</f>
        <v>#VALUE!</v>
      </c>
      <c r="BI8" t="e">
        <f>AND(GEO.!I27,"AAAAAB0uPzw=")</f>
        <v>#VALUE!</v>
      </c>
      <c r="BJ8" t="e">
        <f>AND(GEO.!J27,"AAAAAB0uPz0=")</f>
        <v>#VALUE!</v>
      </c>
      <c r="BK8" t="e">
        <f>AND(GEO.!K27,"AAAAAB0uPz4=")</f>
        <v>#VALUE!</v>
      </c>
      <c r="BL8" t="e">
        <f>AND(GEO.!L27,"AAAAAB0uPz8=")</f>
        <v>#VALUE!</v>
      </c>
      <c r="BM8">
        <f>IF(GEO.!28:28,"AAAAAB0uP0A=",0)</f>
        <v>0</v>
      </c>
      <c r="BN8" t="e">
        <f>AND(GEO.!A28,"AAAAAB0uP0E=")</f>
        <v>#VALUE!</v>
      </c>
      <c r="BO8" t="e">
        <f>AND(GEO.!B28,"AAAAAB0uP0I=")</f>
        <v>#VALUE!</v>
      </c>
      <c r="BP8" t="e">
        <f>AND(GEO.!C28,"AAAAAB0uP0M=")</f>
        <v>#VALUE!</v>
      </c>
      <c r="BQ8" t="e">
        <f>AND(GEO.!D28,"AAAAAB0uP0Q=")</f>
        <v>#VALUE!</v>
      </c>
      <c r="BR8" t="e">
        <f>AND(GEO.!E28,"AAAAAB0uP0U=")</f>
        <v>#VALUE!</v>
      </c>
      <c r="BS8" t="e">
        <f>AND(GEO.!F28,"AAAAAB0uP0Y=")</f>
        <v>#VALUE!</v>
      </c>
      <c r="BT8" t="e">
        <f>AND(GEO.!G28,"AAAAAB0uP0c=")</f>
        <v>#VALUE!</v>
      </c>
      <c r="BU8" t="e">
        <f>AND(GEO.!H28,"AAAAAB0uP0g=")</f>
        <v>#VALUE!</v>
      </c>
      <c r="BV8" t="e">
        <f>AND(GEO.!I28,"AAAAAB0uP0k=")</f>
        <v>#VALUE!</v>
      </c>
      <c r="BW8" t="e">
        <f>AND(GEO.!J28,"AAAAAB0uP0o=")</f>
        <v>#VALUE!</v>
      </c>
      <c r="BX8" t="e">
        <f>AND(GEO.!K28,"AAAAAB0uP0s=")</f>
        <v>#VALUE!</v>
      </c>
      <c r="BY8" t="e">
        <f>AND(GEO.!L28,"AAAAAB0uP0w=")</f>
        <v>#VALUE!</v>
      </c>
      <c r="BZ8">
        <f>IF(GEO.!29:29,"AAAAAB0uP00=",0)</f>
        <v>0</v>
      </c>
      <c r="CA8" t="e">
        <f>AND(GEO.!A29,"AAAAAB0uP04=")</f>
        <v>#VALUE!</v>
      </c>
      <c r="CB8" t="e">
        <f>AND(GEO.!B29,"AAAAAB0uP08=")</f>
        <v>#VALUE!</v>
      </c>
      <c r="CC8" t="e">
        <f>AND(GEO.!C29,"AAAAAB0uP1A=")</f>
        <v>#VALUE!</v>
      </c>
      <c r="CD8" t="e">
        <f>AND(GEO.!D29,"AAAAAB0uP1E=")</f>
        <v>#VALUE!</v>
      </c>
      <c r="CE8" t="e">
        <f>AND(GEO.!E29,"AAAAAB0uP1I=")</f>
        <v>#VALUE!</v>
      </c>
      <c r="CF8" t="e">
        <f>AND(GEO.!F29,"AAAAAB0uP1M=")</f>
        <v>#VALUE!</v>
      </c>
      <c r="CG8" t="e">
        <f>AND(GEO.!G29,"AAAAAB0uP1Q=")</f>
        <v>#VALUE!</v>
      </c>
      <c r="CH8" t="e">
        <f>AND(GEO.!H29,"AAAAAB0uP1U=")</f>
        <v>#VALUE!</v>
      </c>
      <c r="CI8" t="e">
        <f>AND(GEO.!I29,"AAAAAB0uP1Y=")</f>
        <v>#VALUE!</v>
      </c>
      <c r="CJ8" t="e">
        <f>AND(GEO.!J29,"AAAAAB0uP1c=")</f>
        <v>#VALUE!</v>
      </c>
      <c r="CK8" t="e">
        <f>AND(GEO.!K29,"AAAAAB0uP1g=")</f>
        <v>#VALUE!</v>
      </c>
      <c r="CL8" t="e">
        <f>AND(GEO.!L29,"AAAAAB0uP1k=")</f>
        <v>#VALUE!</v>
      </c>
      <c r="CM8">
        <f>IF(GEO.!30:30,"AAAAAB0uP1o=",0)</f>
        <v>0</v>
      </c>
      <c r="CN8" t="e">
        <f>AND(GEO.!A30,"AAAAAB0uP1s=")</f>
        <v>#VALUE!</v>
      </c>
      <c r="CO8" t="e">
        <f>AND(GEO.!B30,"AAAAAB0uP1w=")</f>
        <v>#VALUE!</v>
      </c>
      <c r="CP8" t="e">
        <f>AND(GEO.!C30,"AAAAAB0uP10=")</f>
        <v>#VALUE!</v>
      </c>
      <c r="CQ8" t="e">
        <f>AND(GEO.!D30,"AAAAAB0uP14=")</f>
        <v>#VALUE!</v>
      </c>
      <c r="CR8" t="e">
        <f>AND(GEO.!E30,"AAAAAB0uP18=")</f>
        <v>#VALUE!</v>
      </c>
      <c r="CS8" t="e">
        <f>AND(GEO.!F30,"AAAAAB0uP2A=")</f>
        <v>#VALUE!</v>
      </c>
      <c r="CT8" t="e">
        <f>AND(GEO.!G30,"AAAAAB0uP2E=")</f>
        <v>#VALUE!</v>
      </c>
      <c r="CU8" t="e">
        <f>AND(GEO.!H30,"AAAAAB0uP2I=")</f>
        <v>#VALUE!</v>
      </c>
      <c r="CV8" t="e">
        <f>AND(GEO.!I30,"AAAAAB0uP2M=")</f>
        <v>#VALUE!</v>
      </c>
      <c r="CW8" t="e">
        <f>AND(GEO.!J30,"AAAAAB0uP2Q=")</f>
        <v>#VALUE!</v>
      </c>
      <c r="CX8" t="e">
        <f>AND(GEO.!K30,"AAAAAB0uP2U=")</f>
        <v>#VALUE!</v>
      </c>
      <c r="CY8" t="e">
        <f>AND(GEO.!L30,"AAAAAB0uP2Y=")</f>
        <v>#VALUE!</v>
      </c>
      <c r="CZ8">
        <f>IF(GEO.!31:31,"AAAAAB0uP2c=",0)</f>
        <v>0</v>
      </c>
      <c r="DA8" t="e">
        <f>AND(GEO.!A31,"AAAAAB0uP2g=")</f>
        <v>#VALUE!</v>
      </c>
      <c r="DB8" t="e">
        <f>AND(GEO.!B31,"AAAAAB0uP2k=")</f>
        <v>#VALUE!</v>
      </c>
      <c r="DC8" t="e">
        <f>AND(GEO.!C31,"AAAAAB0uP2o=")</f>
        <v>#VALUE!</v>
      </c>
      <c r="DD8" t="e">
        <f>AND(GEO.!D31,"AAAAAB0uP2s=")</f>
        <v>#VALUE!</v>
      </c>
      <c r="DE8" t="e">
        <f>AND(GEO.!E31,"AAAAAB0uP2w=")</f>
        <v>#VALUE!</v>
      </c>
      <c r="DF8" t="e">
        <f>AND(GEO.!F31,"AAAAAB0uP20=")</f>
        <v>#VALUE!</v>
      </c>
      <c r="DG8" t="e">
        <f>AND(GEO.!G31,"AAAAAB0uP24=")</f>
        <v>#VALUE!</v>
      </c>
      <c r="DH8" t="e">
        <f>AND(GEO.!H31,"AAAAAB0uP28=")</f>
        <v>#VALUE!</v>
      </c>
      <c r="DI8" t="e">
        <f>AND(GEO.!I31,"AAAAAB0uP3A=")</f>
        <v>#VALUE!</v>
      </c>
      <c r="DJ8" t="e">
        <f>AND(GEO.!J31,"AAAAAB0uP3E=")</f>
        <v>#VALUE!</v>
      </c>
      <c r="DK8" t="e">
        <f>AND(GEO.!K31,"AAAAAB0uP3I=")</f>
        <v>#VALUE!</v>
      </c>
      <c r="DL8" t="e">
        <f>AND(GEO.!L31,"AAAAAB0uP3M=")</f>
        <v>#VALUE!</v>
      </c>
      <c r="DM8">
        <f>IF(GEO.!32:32,"AAAAAB0uP3Q=",0)</f>
        <v>0</v>
      </c>
      <c r="DN8" t="e">
        <f>AND(GEO.!A32,"AAAAAB0uP3U=")</f>
        <v>#VALUE!</v>
      </c>
      <c r="DO8" t="e">
        <f>AND(GEO.!B32,"AAAAAB0uP3Y=")</f>
        <v>#VALUE!</v>
      </c>
      <c r="DP8" t="e">
        <f>AND(GEO.!C32,"AAAAAB0uP3c=")</f>
        <v>#VALUE!</v>
      </c>
      <c r="DQ8" t="e">
        <f>AND(GEO.!D32,"AAAAAB0uP3g=")</f>
        <v>#VALUE!</v>
      </c>
      <c r="DR8" t="e">
        <f>AND(GEO.!E32,"AAAAAB0uP3k=")</f>
        <v>#VALUE!</v>
      </c>
      <c r="DS8" t="e">
        <f>AND(GEO.!F32,"AAAAAB0uP3o=")</f>
        <v>#VALUE!</v>
      </c>
      <c r="DT8" t="e">
        <f>AND(GEO.!G32,"AAAAAB0uP3s=")</f>
        <v>#VALUE!</v>
      </c>
      <c r="DU8" t="e">
        <f>AND(GEO.!H32,"AAAAAB0uP3w=")</f>
        <v>#VALUE!</v>
      </c>
      <c r="DV8" t="e">
        <f>AND(GEO.!I32,"AAAAAB0uP30=")</f>
        <v>#VALUE!</v>
      </c>
      <c r="DW8" t="e">
        <f>AND(GEO.!J32,"AAAAAB0uP34=")</f>
        <v>#VALUE!</v>
      </c>
      <c r="DX8" t="e">
        <f>AND(GEO.!K32,"AAAAAB0uP38=")</f>
        <v>#VALUE!</v>
      </c>
      <c r="DY8" t="e">
        <f>AND(GEO.!L32,"AAAAAB0uP4A=")</f>
        <v>#VALUE!</v>
      </c>
      <c r="DZ8">
        <f>IF(GEO.!33:33,"AAAAAB0uP4E=",0)</f>
        <v>0</v>
      </c>
      <c r="EA8" t="e">
        <f>AND(GEO.!A33,"AAAAAB0uP4I=")</f>
        <v>#VALUE!</v>
      </c>
      <c r="EB8" t="e">
        <f>AND(GEO.!B33,"AAAAAB0uP4M=")</f>
        <v>#VALUE!</v>
      </c>
      <c r="EC8" t="e">
        <f>AND(GEO.!C33,"AAAAAB0uP4Q=")</f>
        <v>#VALUE!</v>
      </c>
      <c r="ED8" t="e">
        <f>AND(GEO.!D33,"AAAAAB0uP4U=")</f>
        <v>#VALUE!</v>
      </c>
      <c r="EE8" t="e">
        <f>AND(GEO.!E33,"AAAAAB0uP4Y=")</f>
        <v>#VALUE!</v>
      </c>
      <c r="EF8" t="e">
        <f>AND(GEO.!F33,"AAAAAB0uP4c=")</f>
        <v>#VALUE!</v>
      </c>
      <c r="EG8" t="e">
        <f>AND(GEO.!G33,"AAAAAB0uP4g=")</f>
        <v>#VALUE!</v>
      </c>
      <c r="EH8" t="e">
        <f>AND(GEO.!H33,"AAAAAB0uP4k=")</f>
        <v>#VALUE!</v>
      </c>
      <c r="EI8" t="e">
        <f>AND(GEO.!I33,"AAAAAB0uP4o=")</f>
        <v>#VALUE!</v>
      </c>
      <c r="EJ8" t="e">
        <f>AND(GEO.!J33,"AAAAAB0uP4s=")</f>
        <v>#VALUE!</v>
      </c>
      <c r="EK8" t="e">
        <f>AND(GEO.!K33,"AAAAAB0uP4w=")</f>
        <v>#VALUE!</v>
      </c>
      <c r="EL8" t="e">
        <f>AND(GEO.!L33,"AAAAAB0uP40=")</f>
        <v>#VALUE!</v>
      </c>
      <c r="EM8">
        <f>IF(GEO.!34:34,"AAAAAB0uP44=",0)</f>
        <v>0</v>
      </c>
      <c r="EN8" t="e">
        <f>AND(GEO.!A34,"AAAAAB0uP48=")</f>
        <v>#VALUE!</v>
      </c>
      <c r="EO8" t="e">
        <f>AND(GEO.!B34,"AAAAAB0uP5A=")</f>
        <v>#VALUE!</v>
      </c>
      <c r="EP8" t="e">
        <f>AND(GEO.!C34,"AAAAAB0uP5E=")</f>
        <v>#VALUE!</v>
      </c>
      <c r="EQ8" t="e">
        <f>AND(GEO.!D34,"AAAAAB0uP5I=")</f>
        <v>#VALUE!</v>
      </c>
      <c r="ER8" t="e">
        <f>AND(GEO.!E34,"AAAAAB0uP5M=")</f>
        <v>#VALUE!</v>
      </c>
      <c r="ES8" t="e">
        <f>AND(GEO.!F34,"AAAAAB0uP5Q=")</f>
        <v>#VALUE!</v>
      </c>
      <c r="ET8" t="e">
        <f>AND(GEO.!G34,"AAAAAB0uP5U=")</f>
        <v>#VALUE!</v>
      </c>
      <c r="EU8" t="e">
        <f>AND(GEO.!H34,"AAAAAB0uP5Y=")</f>
        <v>#VALUE!</v>
      </c>
      <c r="EV8" t="e">
        <f>AND(GEO.!I34,"AAAAAB0uP5c=")</f>
        <v>#VALUE!</v>
      </c>
      <c r="EW8" t="e">
        <f>AND(GEO.!J34,"AAAAAB0uP5g=")</f>
        <v>#VALUE!</v>
      </c>
      <c r="EX8" t="e">
        <f>AND(GEO.!K34,"AAAAAB0uP5k=")</f>
        <v>#VALUE!</v>
      </c>
      <c r="EY8" t="e">
        <f>AND(GEO.!L34,"AAAAAB0uP5o=")</f>
        <v>#VALUE!</v>
      </c>
      <c r="EZ8">
        <f>IF(GEO.!35:35,"AAAAAB0uP5s=",0)</f>
        <v>0</v>
      </c>
      <c r="FA8" t="e">
        <f>AND(GEO.!A35,"AAAAAB0uP5w=")</f>
        <v>#VALUE!</v>
      </c>
      <c r="FB8" t="e">
        <f>AND(GEO.!B35,"AAAAAB0uP50=")</f>
        <v>#VALUE!</v>
      </c>
      <c r="FC8" t="e">
        <f>AND(GEO.!C35,"AAAAAB0uP54=")</f>
        <v>#VALUE!</v>
      </c>
      <c r="FD8" t="e">
        <f>AND(GEO.!D35,"AAAAAB0uP58=")</f>
        <v>#VALUE!</v>
      </c>
      <c r="FE8" t="e">
        <f>AND(GEO.!E35,"AAAAAB0uP6A=")</f>
        <v>#VALUE!</v>
      </c>
      <c r="FF8" t="e">
        <f>AND(GEO.!F35,"AAAAAB0uP6E=")</f>
        <v>#VALUE!</v>
      </c>
      <c r="FG8" t="e">
        <f>AND(GEO.!G35,"AAAAAB0uP6I=")</f>
        <v>#VALUE!</v>
      </c>
      <c r="FH8" t="e">
        <f>AND(GEO.!H35,"AAAAAB0uP6M=")</f>
        <v>#VALUE!</v>
      </c>
      <c r="FI8" t="e">
        <f>AND(GEO.!I35,"AAAAAB0uP6Q=")</f>
        <v>#VALUE!</v>
      </c>
      <c r="FJ8" t="e">
        <f>AND(GEO.!J35,"AAAAAB0uP6U=")</f>
        <v>#VALUE!</v>
      </c>
      <c r="FK8" t="e">
        <f>AND(GEO.!K35,"AAAAAB0uP6Y=")</f>
        <v>#VALUE!</v>
      </c>
      <c r="FL8" t="e">
        <f>AND(GEO.!L35,"AAAAAB0uP6c=")</f>
        <v>#VALUE!</v>
      </c>
      <c r="FM8">
        <f>IF(GEO.!A:A,"AAAAAB0uP6g=",0)</f>
        <v>0</v>
      </c>
      <c r="FN8">
        <f>IF(GEO.!B:B,"AAAAAB0uP6k=",0)</f>
        <v>0</v>
      </c>
      <c r="FO8">
        <f>IF(GEO.!C:C,"AAAAAB0uP6o=",0)</f>
        <v>0</v>
      </c>
      <c r="FP8">
        <f>IF(GEO.!D:D,"AAAAAB0uP6s=",0)</f>
        <v>0</v>
      </c>
      <c r="FQ8">
        <f>IF(GEO.!E:E,"AAAAAB0uP6w=",0)</f>
        <v>0</v>
      </c>
      <c r="FR8">
        <f>IF(GEO.!F:F,"AAAAAB0uP60=",0)</f>
        <v>0</v>
      </c>
      <c r="FS8">
        <f>IF(GEO.!G:G,"AAAAAB0uP64=",0)</f>
        <v>0</v>
      </c>
      <c r="FT8">
        <f>IF(GEO.!H:H,"AAAAAB0uP68=",0)</f>
        <v>0</v>
      </c>
      <c r="FU8">
        <f>IF(GEO.!I:I,"AAAAAB0uP7A=",0)</f>
        <v>0</v>
      </c>
      <c r="FV8">
        <f>IF(GEO.!J:J,"AAAAAB0uP7E=",0)</f>
        <v>0</v>
      </c>
      <c r="FW8">
        <f>IF(GEO.!K:K,"AAAAAB0uP7I=",0)</f>
        <v>0</v>
      </c>
      <c r="FX8">
        <f>IF(GEO.!L:L,"AAAAAB0uP7M=",0)</f>
        <v>0</v>
      </c>
      <c r="FY8">
        <f>IF(CIV.!1:1,"AAAAAB0uP7Q=",0)</f>
        <v>0</v>
      </c>
      <c r="FZ8" t="e">
        <f>AND(CIV.!A1,"AAAAAB0uP7U=")</f>
        <v>#VALUE!</v>
      </c>
      <c r="GA8" t="e">
        <f>AND(CIV.!B1,"AAAAAB0uP7Y=")</f>
        <v>#VALUE!</v>
      </c>
      <c r="GB8" t="e">
        <f>AND(CIV.!C1,"AAAAAB0uP7c=")</f>
        <v>#VALUE!</v>
      </c>
      <c r="GC8" t="e">
        <f>AND(CIV.!D1,"AAAAAB0uP7g=")</f>
        <v>#VALUE!</v>
      </c>
      <c r="GD8" t="e">
        <f>AND(CIV.!E1,"AAAAAB0uP7k=")</f>
        <v>#VALUE!</v>
      </c>
      <c r="GE8" t="e">
        <f>AND(CIV.!F1,"AAAAAB0uP7o=")</f>
        <v>#VALUE!</v>
      </c>
      <c r="GF8" t="e">
        <f>AND(CIV.!G1,"AAAAAB0uP7s=")</f>
        <v>#VALUE!</v>
      </c>
      <c r="GG8" t="e">
        <f>AND(CIV.!H1,"AAAAAB0uP7w=")</f>
        <v>#VALUE!</v>
      </c>
      <c r="GH8" t="e">
        <f>AND(CIV.!I1,"AAAAAB0uP70=")</f>
        <v>#VALUE!</v>
      </c>
      <c r="GI8" t="e">
        <f>AND(CIV.!J1,"AAAAAB0uP74=")</f>
        <v>#VALUE!</v>
      </c>
      <c r="GJ8" t="e">
        <f>AND(CIV.!K1,"AAAAAB0uP78=")</f>
        <v>#VALUE!</v>
      </c>
      <c r="GK8" t="e">
        <f>AND(CIV.!L1,"AAAAAB0uP8A=")</f>
        <v>#VALUE!</v>
      </c>
      <c r="GL8">
        <f>IF(CIV.!2:2,"AAAAAB0uP8E=",0)</f>
        <v>0</v>
      </c>
      <c r="GM8" t="e">
        <f>AND(CIV.!A2,"AAAAAB0uP8I=")</f>
        <v>#VALUE!</v>
      </c>
      <c r="GN8" t="e">
        <f>AND(CIV.!B2,"AAAAAB0uP8M=")</f>
        <v>#VALUE!</v>
      </c>
      <c r="GO8" t="e">
        <f>AND(CIV.!C2,"AAAAAB0uP8Q=")</f>
        <v>#VALUE!</v>
      </c>
      <c r="GP8" t="e">
        <f>AND(CIV.!D2,"AAAAAB0uP8U=")</f>
        <v>#VALUE!</v>
      </c>
      <c r="GQ8" t="e">
        <f>AND(CIV.!E2,"AAAAAB0uP8Y=")</f>
        <v>#VALUE!</v>
      </c>
      <c r="GR8" t="e">
        <f>AND(CIV.!F2,"AAAAAB0uP8c=")</f>
        <v>#VALUE!</v>
      </c>
      <c r="GS8" t="e">
        <f>AND(CIV.!G2,"AAAAAB0uP8g=")</f>
        <v>#VALUE!</v>
      </c>
      <c r="GT8" t="e">
        <f>AND(CIV.!H2,"AAAAAB0uP8k=")</f>
        <v>#VALUE!</v>
      </c>
      <c r="GU8" t="e">
        <f>AND(CIV.!I2,"AAAAAB0uP8o=")</f>
        <v>#VALUE!</v>
      </c>
      <c r="GV8" t="e">
        <f>AND(CIV.!J2,"AAAAAB0uP8s=")</f>
        <v>#VALUE!</v>
      </c>
      <c r="GW8" t="e">
        <f>AND(CIV.!K2,"AAAAAB0uP8w=")</f>
        <v>#VALUE!</v>
      </c>
      <c r="GX8" t="e">
        <f>AND(CIV.!L2,"AAAAAB0uP80=")</f>
        <v>#VALUE!</v>
      </c>
      <c r="GY8">
        <f>IF(CIV.!3:3,"AAAAAB0uP84=",0)</f>
        <v>0</v>
      </c>
      <c r="GZ8" t="e">
        <f>AND(CIV.!A3,"AAAAAB0uP88=")</f>
        <v>#VALUE!</v>
      </c>
      <c r="HA8" t="e">
        <f>AND(CIV.!B3,"AAAAAB0uP9A=")</f>
        <v>#VALUE!</v>
      </c>
      <c r="HB8" t="e">
        <f>AND(CIV.!C3,"AAAAAB0uP9E=")</f>
        <v>#VALUE!</v>
      </c>
      <c r="HC8" t="e">
        <f>AND(CIV.!D3,"AAAAAB0uP9I=")</f>
        <v>#VALUE!</v>
      </c>
      <c r="HD8" t="e">
        <f>AND(CIV.!E3,"AAAAAB0uP9M=")</f>
        <v>#VALUE!</v>
      </c>
      <c r="HE8" t="e">
        <f>AND(CIV.!F3,"AAAAAB0uP9Q=")</f>
        <v>#VALUE!</v>
      </c>
      <c r="HF8" t="e">
        <f>AND(CIV.!G3,"AAAAAB0uP9U=")</f>
        <v>#VALUE!</v>
      </c>
      <c r="HG8" t="e">
        <f>AND(CIV.!H3,"AAAAAB0uP9Y=")</f>
        <v>#VALUE!</v>
      </c>
      <c r="HH8" t="e">
        <f>AND(CIV.!I3,"AAAAAB0uP9c=")</f>
        <v>#VALUE!</v>
      </c>
      <c r="HI8" t="e">
        <f>AND(CIV.!J3,"AAAAAB0uP9g=")</f>
        <v>#VALUE!</v>
      </c>
      <c r="HJ8" t="e">
        <f>AND(CIV.!K3,"AAAAAB0uP9k=")</f>
        <v>#VALUE!</v>
      </c>
      <c r="HK8" t="e">
        <f>AND(CIV.!L3,"AAAAAB0uP9o=")</f>
        <v>#VALUE!</v>
      </c>
      <c r="HL8">
        <f>IF(CIV.!4:4,"AAAAAB0uP9s=",0)</f>
        <v>0</v>
      </c>
      <c r="HM8" t="e">
        <f>AND(CIV.!A4,"AAAAAB0uP9w=")</f>
        <v>#VALUE!</v>
      </c>
      <c r="HN8" t="e">
        <f>AND(CIV.!B4,"AAAAAB0uP90=")</f>
        <v>#VALUE!</v>
      </c>
      <c r="HO8" t="e">
        <f>AND(CIV.!C4,"AAAAAB0uP94=")</f>
        <v>#VALUE!</v>
      </c>
      <c r="HP8" t="e">
        <f>AND(CIV.!D4,"AAAAAB0uP98=")</f>
        <v>#VALUE!</v>
      </c>
      <c r="HQ8" t="e">
        <f>AND(CIV.!E4,"AAAAAB0uP+A=")</f>
        <v>#VALUE!</v>
      </c>
      <c r="HR8" t="e">
        <f>AND(CIV.!F4,"AAAAAB0uP+E=")</f>
        <v>#VALUE!</v>
      </c>
      <c r="HS8" t="e">
        <f>AND(CIV.!G4,"AAAAAB0uP+I=")</f>
        <v>#VALUE!</v>
      </c>
      <c r="HT8" t="e">
        <f>AND(CIV.!H4,"AAAAAB0uP+M=")</f>
        <v>#VALUE!</v>
      </c>
      <c r="HU8" t="e">
        <f>AND(CIV.!I4,"AAAAAB0uP+Q=")</f>
        <v>#VALUE!</v>
      </c>
      <c r="HV8" t="e">
        <f>AND(CIV.!J4,"AAAAAB0uP+U=")</f>
        <v>#VALUE!</v>
      </c>
      <c r="HW8" t="e">
        <f>AND(CIV.!K4,"AAAAAB0uP+Y=")</f>
        <v>#VALUE!</v>
      </c>
      <c r="HX8" t="e">
        <f>AND(CIV.!L4,"AAAAAB0uP+c=")</f>
        <v>#VALUE!</v>
      </c>
      <c r="HY8">
        <f>IF(CIV.!5:5,"AAAAAB0uP+g=",0)</f>
        <v>0</v>
      </c>
      <c r="HZ8" t="e">
        <f>AND(CIV.!A5,"AAAAAB0uP+k=")</f>
        <v>#VALUE!</v>
      </c>
      <c r="IA8" t="e">
        <f>AND(CIV.!B5,"AAAAAB0uP+o=")</f>
        <v>#VALUE!</v>
      </c>
      <c r="IB8" t="e">
        <f>AND(CIV.!C5,"AAAAAB0uP+s=")</f>
        <v>#VALUE!</v>
      </c>
      <c r="IC8" t="e">
        <f>AND(CIV.!D5,"AAAAAB0uP+w=")</f>
        <v>#VALUE!</v>
      </c>
      <c r="ID8" t="e">
        <f>AND(CIV.!E5,"AAAAAB0uP+0=")</f>
        <v>#VALUE!</v>
      </c>
      <c r="IE8" t="e">
        <f>AND(CIV.!F5,"AAAAAB0uP+4=")</f>
        <v>#VALUE!</v>
      </c>
      <c r="IF8" t="e">
        <f>AND(CIV.!G5,"AAAAAB0uP+8=")</f>
        <v>#VALUE!</v>
      </c>
      <c r="IG8" t="e">
        <f>AND(CIV.!H5,"AAAAAB0uP/A=")</f>
        <v>#VALUE!</v>
      </c>
      <c r="IH8" t="e">
        <f>AND(CIV.!I5,"AAAAAB0uP/E=")</f>
        <v>#VALUE!</v>
      </c>
      <c r="II8" t="e">
        <f>AND(CIV.!J5,"AAAAAB0uP/I=")</f>
        <v>#VALUE!</v>
      </c>
      <c r="IJ8" t="e">
        <f>AND(CIV.!K5,"AAAAAB0uP/M=")</f>
        <v>#VALUE!</v>
      </c>
      <c r="IK8" t="e">
        <f>AND(CIV.!L5,"AAAAAB0uP/Q=")</f>
        <v>#VALUE!</v>
      </c>
      <c r="IL8">
        <f>IF(CIV.!6:6,"AAAAAB0uP/U=",0)</f>
        <v>0</v>
      </c>
      <c r="IM8" t="e">
        <f>AND(CIV.!A6,"AAAAAB0uP/Y=")</f>
        <v>#VALUE!</v>
      </c>
      <c r="IN8" t="e">
        <f>AND(CIV.!B6,"AAAAAB0uP/c=")</f>
        <v>#VALUE!</v>
      </c>
      <c r="IO8" t="e">
        <f>AND(CIV.!C6,"AAAAAB0uP/g=")</f>
        <v>#VALUE!</v>
      </c>
      <c r="IP8" t="e">
        <f>AND(CIV.!D6,"AAAAAB0uP/k=")</f>
        <v>#VALUE!</v>
      </c>
      <c r="IQ8" t="e">
        <f>AND(CIV.!E6,"AAAAAB0uP/o=")</f>
        <v>#VALUE!</v>
      </c>
      <c r="IR8" t="e">
        <f>AND(CIV.!F6,"AAAAAB0uP/s=")</f>
        <v>#VALUE!</v>
      </c>
      <c r="IS8" t="e">
        <f>AND(CIV.!G6,"AAAAAB0uP/w=")</f>
        <v>#VALUE!</v>
      </c>
      <c r="IT8" t="e">
        <f>AND(CIV.!H6,"AAAAAB0uP/0=")</f>
        <v>#VALUE!</v>
      </c>
      <c r="IU8" t="e">
        <f>AND(CIV.!I6,"AAAAAB0uP/4=")</f>
        <v>#VALUE!</v>
      </c>
      <c r="IV8" t="e">
        <f>AND(CIV.!J6,"AAAAAB0uP/8=")</f>
        <v>#VALUE!</v>
      </c>
    </row>
    <row r="9" spans="1:256">
      <c r="A9" t="e">
        <f>AND(CIV.!K6,"AAAAAEs4nQA=")</f>
        <v>#VALUE!</v>
      </c>
      <c r="B9" t="e">
        <f>AND(CIV.!L6,"AAAAAEs4nQE=")</f>
        <v>#VALUE!</v>
      </c>
      <c r="C9">
        <f>IF(CIV.!7:7,"AAAAAEs4nQI=",0)</f>
        <v>0</v>
      </c>
      <c r="D9" t="e">
        <f>AND(CIV.!A7,"AAAAAEs4nQM=")</f>
        <v>#VALUE!</v>
      </c>
      <c r="E9" t="e">
        <f>AND(CIV.!B7,"AAAAAEs4nQQ=")</f>
        <v>#VALUE!</v>
      </c>
      <c r="F9" t="e">
        <f>AND(CIV.!C7,"AAAAAEs4nQU=")</f>
        <v>#VALUE!</v>
      </c>
      <c r="G9" t="e">
        <f>AND(CIV.!D7,"AAAAAEs4nQY=")</f>
        <v>#VALUE!</v>
      </c>
      <c r="H9" t="e">
        <f>AND(CIV.!E7,"AAAAAEs4nQc=")</f>
        <v>#VALUE!</v>
      </c>
      <c r="I9" t="e">
        <f>AND(CIV.!F7,"AAAAAEs4nQg=")</f>
        <v>#VALUE!</v>
      </c>
      <c r="J9" t="e">
        <f>AND(CIV.!G7,"AAAAAEs4nQk=")</f>
        <v>#VALUE!</v>
      </c>
      <c r="K9" t="e">
        <f>AND(CIV.!H7,"AAAAAEs4nQo=")</f>
        <v>#VALUE!</v>
      </c>
      <c r="L9" t="e">
        <f>AND(CIV.!I7,"AAAAAEs4nQs=")</f>
        <v>#VALUE!</v>
      </c>
      <c r="M9" t="e">
        <f>AND(CIV.!J7,"AAAAAEs4nQw=")</f>
        <v>#VALUE!</v>
      </c>
      <c r="N9" t="e">
        <f>AND(CIV.!K7,"AAAAAEs4nQ0=")</f>
        <v>#VALUE!</v>
      </c>
      <c r="O9" t="e">
        <f>AND(CIV.!L7,"AAAAAEs4nQ4=")</f>
        <v>#VALUE!</v>
      </c>
      <c r="P9">
        <f>IF(CIV.!8:8,"AAAAAEs4nQ8=",0)</f>
        <v>0</v>
      </c>
      <c r="Q9" t="e">
        <f>AND(CIV.!A8,"AAAAAEs4nRA=")</f>
        <v>#VALUE!</v>
      </c>
      <c r="R9" t="e">
        <f>AND(CIV.!B8,"AAAAAEs4nRE=")</f>
        <v>#VALUE!</v>
      </c>
      <c r="S9" t="e">
        <f>AND(CIV.!C8,"AAAAAEs4nRI=")</f>
        <v>#VALUE!</v>
      </c>
      <c r="T9" t="e">
        <f>AND(CIV.!D8,"AAAAAEs4nRM=")</f>
        <v>#VALUE!</v>
      </c>
      <c r="U9" t="e">
        <f>AND(CIV.!E8,"AAAAAEs4nRQ=")</f>
        <v>#VALUE!</v>
      </c>
      <c r="V9" t="e">
        <f>AND(CIV.!F8,"AAAAAEs4nRU=")</f>
        <v>#VALUE!</v>
      </c>
      <c r="W9" t="e">
        <f>AND(CIV.!G8,"AAAAAEs4nRY=")</f>
        <v>#VALUE!</v>
      </c>
      <c r="X9" t="e">
        <f>AND(CIV.!H8,"AAAAAEs4nRc=")</f>
        <v>#VALUE!</v>
      </c>
      <c r="Y9" t="e">
        <f>AND(CIV.!I8,"AAAAAEs4nRg=")</f>
        <v>#VALUE!</v>
      </c>
      <c r="Z9" t="e">
        <f>AND(CIV.!J8,"AAAAAEs4nRk=")</f>
        <v>#VALUE!</v>
      </c>
      <c r="AA9" t="e">
        <f>AND(CIV.!K8,"AAAAAEs4nRo=")</f>
        <v>#VALUE!</v>
      </c>
      <c r="AB9" t="e">
        <f>AND(CIV.!L8,"AAAAAEs4nRs=")</f>
        <v>#VALUE!</v>
      </c>
      <c r="AC9">
        <f>IF(CIV.!9:9,"AAAAAEs4nRw=",0)</f>
        <v>0</v>
      </c>
      <c r="AD9" t="e">
        <f>AND(CIV.!A9,"AAAAAEs4nR0=")</f>
        <v>#VALUE!</v>
      </c>
      <c r="AE9" t="e">
        <f>AND(CIV.!B9,"AAAAAEs4nR4=")</f>
        <v>#VALUE!</v>
      </c>
      <c r="AF9" t="e">
        <f>AND(CIV.!C9,"AAAAAEs4nR8=")</f>
        <v>#VALUE!</v>
      </c>
      <c r="AG9" t="e">
        <f>AND(CIV.!D9,"AAAAAEs4nSA=")</f>
        <v>#VALUE!</v>
      </c>
      <c r="AH9" t="e">
        <f>AND(CIV.!E9,"AAAAAEs4nSE=")</f>
        <v>#VALUE!</v>
      </c>
      <c r="AI9" t="e">
        <f>AND(CIV.!F9,"AAAAAEs4nSI=")</f>
        <v>#VALUE!</v>
      </c>
      <c r="AJ9" t="e">
        <f>AND(CIV.!G9,"AAAAAEs4nSM=")</f>
        <v>#VALUE!</v>
      </c>
      <c r="AK9" t="e">
        <f>AND(CIV.!H9,"AAAAAEs4nSQ=")</f>
        <v>#VALUE!</v>
      </c>
      <c r="AL9" t="e">
        <f>AND(CIV.!I9,"AAAAAEs4nSU=")</f>
        <v>#VALUE!</v>
      </c>
      <c r="AM9" t="e">
        <f>AND(CIV.!J9,"AAAAAEs4nSY=")</f>
        <v>#VALUE!</v>
      </c>
      <c r="AN9" t="e">
        <f>AND(CIV.!K9,"AAAAAEs4nSc=")</f>
        <v>#VALUE!</v>
      </c>
      <c r="AO9" t="e">
        <f>AND(CIV.!L9,"AAAAAEs4nSg=")</f>
        <v>#VALUE!</v>
      </c>
      <c r="AP9">
        <f>IF(CIV.!10:10,"AAAAAEs4nSk=",0)</f>
        <v>0</v>
      </c>
      <c r="AQ9" t="e">
        <f>AND(CIV.!A10,"AAAAAEs4nSo=")</f>
        <v>#VALUE!</v>
      </c>
      <c r="AR9" t="e">
        <f>AND(CIV.!B10,"AAAAAEs4nSs=")</f>
        <v>#VALUE!</v>
      </c>
      <c r="AS9" t="e">
        <f>AND(CIV.!C10,"AAAAAEs4nSw=")</f>
        <v>#VALUE!</v>
      </c>
      <c r="AT9" t="e">
        <f>AND(CIV.!D10,"AAAAAEs4nS0=")</f>
        <v>#VALUE!</v>
      </c>
      <c r="AU9" t="e">
        <f>AND(CIV.!E10,"AAAAAEs4nS4=")</f>
        <v>#VALUE!</v>
      </c>
      <c r="AV9" t="e">
        <f>AND(CIV.!F10,"AAAAAEs4nS8=")</f>
        <v>#VALUE!</v>
      </c>
      <c r="AW9" t="e">
        <f>AND(CIV.!G10,"AAAAAEs4nTA=")</f>
        <v>#VALUE!</v>
      </c>
      <c r="AX9" t="e">
        <f>AND(CIV.!H10,"AAAAAEs4nTE=")</f>
        <v>#VALUE!</v>
      </c>
      <c r="AY9" t="e">
        <f>AND(CIV.!I10,"AAAAAEs4nTI=")</f>
        <v>#VALUE!</v>
      </c>
      <c r="AZ9" t="e">
        <f>AND(CIV.!J10,"AAAAAEs4nTM=")</f>
        <v>#VALUE!</v>
      </c>
      <c r="BA9" t="e">
        <f>AND(CIV.!K10,"AAAAAEs4nTQ=")</f>
        <v>#VALUE!</v>
      </c>
      <c r="BB9" t="e">
        <f>AND(CIV.!L10,"AAAAAEs4nTU=")</f>
        <v>#VALUE!</v>
      </c>
      <c r="BC9">
        <f>IF(CIV.!11:11,"AAAAAEs4nTY=",0)</f>
        <v>0</v>
      </c>
      <c r="BD9" t="e">
        <f>AND(CIV.!A11,"AAAAAEs4nTc=")</f>
        <v>#VALUE!</v>
      </c>
      <c r="BE9" t="e">
        <f>AND(CIV.!B11,"AAAAAEs4nTg=")</f>
        <v>#VALUE!</v>
      </c>
      <c r="BF9" t="e">
        <f>AND(CIV.!C11,"AAAAAEs4nTk=")</f>
        <v>#VALUE!</v>
      </c>
      <c r="BG9" t="e">
        <f>AND(CIV.!D11,"AAAAAEs4nTo=")</f>
        <v>#VALUE!</v>
      </c>
      <c r="BH9" t="e">
        <f>AND(CIV.!E11,"AAAAAEs4nTs=")</f>
        <v>#VALUE!</v>
      </c>
      <c r="BI9" t="e">
        <f>AND(CIV.!F11,"AAAAAEs4nTw=")</f>
        <v>#VALUE!</v>
      </c>
      <c r="BJ9" t="e">
        <f>AND(CIV.!G11,"AAAAAEs4nT0=")</f>
        <v>#VALUE!</v>
      </c>
      <c r="BK9" t="e">
        <f>AND(CIV.!H11,"AAAAAEs4nT4=")</f>
        <v>#VALUE!</v>
      </c>
      <c r="BL9" t="e">
        <f>AND(CIV.!I11,"AAAAAEs4nT8=")</f>
        <v>#VALUE!</v>
      </c>
      <c r="BM9" t="e">
        <f>AND(CIV.!J11,"AAAAAEs4nUA=")</f>
        <v>#VALUE!</v>
      </c>
      <c r="BN9" t="e">
        <f>AND(CIV.!K11,"AAAAAEs4nUE=")</f>
        <v>#VALUE!</v>
      </c>
      <c r="BO9" t="e">
        <f>AND(CIV.!L11,"AAAAAEs4nUI=")</f>
        <v>#VALUE!</v>
      </c>
      <c r="BP9">
        <f>IF(CIV.!12:12,"AAAAAEs4nUM=",0)</f>
        <v>0</v>
      </c>
      <c r="BQ9" t="e">
        <f>AND(CIV.!A12,"AAAAAEs4nUQ=")</f>
        <v>#VALUE!</v>
      </c>
      <c r="BR9" t="e">
        <f>AND(CIV.!B12,"AAAAAEs4nUU=")</f>
        <v>#VALUE!</v>
      </c>
      <c r="BS9" t="e">
        <f>AND(CIV.!C12,"AAAAAEs4nUY=")</f>
        <v>#VALUE!</v>
      </c>
      <c r="BT9" t="e">
        <f>AND(CIV.!D12,"AAAAAEs4nUc=")</f>
        <v>#VALUE!</v>
      </c>
      <c r="BU9" t="e">
        <f>AND(CIV.!E12,"AAAAAEs4nUg=")</f>
        <v>#VALUE!</v>
      </c>
      <c r="BV9" t="e">
        <f>AND(CIV.!F12,"AAAAAEs4nUk=")</f>
        <v>#VALUE!</v>
      </c>
      <c r="BW9" t="e">
        <f>AND(CIV.!G12,"AAAAAEs4nUo=")</f>
        <v>#VALUE!</v>
      </c>
      <c r="BX9" t="e">
        <f>AND(CIV.!H12,"AAAAAEs4nUs=")</f>
        <v>#VALUE!</v>
      </c>
      <c r="BY9" t="e">
        <f>AND(CIV.!I12,"AAAAAEs4nUw=")</f>
        <v>#VALUE!</v>
      </c>
      <c r="BZ9" t="e">
        <f>AND(CIV.!J12,"AAAAAEs4nU0=")</f>
        <v>#VALUE!</v>
      </c>
      <c r="CA9" t="e">
        <f>AND(CIV.!K12,"AAAAAEs4nU4=")</f>
        <v>#VALUE!</v>
      </c>
      <c r="CB9" t="e">
        <f>AND(CIV.!L12,"AAAAAEs4nU8=")</f>
        <v>#VALUE!</v>
      </c>
      <c r="CC9">
        <f>IF(CIV.!13:13,"AAAAAEs4nVA=",0)</f>
        <v>0</v>
      </c>
      <c r="CD9" t="e">
        <f>AND(CIV.!A13,"AAAAAEs4nVE=")</f>
        <v>#VALUE!</v>
      </c>
      <c r="CE9" t="e">
        <f>AND(CIV.!B13,"AAAAAEs4nVI=")</f>
        <v>#VALUE!</v>
      </c>
      <c r="CF9" t="e">
        <f>AND(CIV.!C13,"AAAAAEs4nVM=")</f>
        <v>#VALUE!</v>
      </c>
      <c r="CG9" t="e">
        <f>AND(CIV.!D13,"AAAAAEs4nVQ=")</f>
        <v>#VALUE!</v>
      </c>
      <c r="CH9" t="e">
        <f>AND(CIV.!E13,"AAAAAEs4nVU=")</f>
        <v>#VALUE!</v>
      </c>
      <c r="CI9" t="e">
        <f>AND(CIV.!F13,"AAAAAEs4nVY=")</f>
        <v>#VALUE!</v>
      </c>
      <c r="CJ9" t="e">
        <f>AND(CIV.!G13,"AAAAAEs4nVc=")</f>
        <v>#VALUE!</v>
      </c>
      <c r="CK9" t="e">
        <f>AND(CIV.!H13,"AAAAAEs4nVg=")</f>
        <v>#VALUE!</v>
      </c>
      <c r="CL9" t="e">
        <f>AND(CIV.!I13,"AAAAAEs4nVk=")</f>
        <v>#VALUE!</v>
      </c>
      <c r="CM9" t="e">
        <f>AND(CIV.!J13,"AAAAAEs4nVo=")</f>
        <v>#VALUE!</v>
      </c>
      <c r="CN9" t="e">
        <f>AND(CIV.!K13,"AAAAAEs4nVs=")</f>
        <v>#VALUE!</v>
      </c>
      <c r="CO9" t="e">
        <f>AND(CIV.!L13,"AAAAAEs4nVw=")</f>
        <v>#VALUE!</v>
      </c>
      <c r="CP9">
        <f>IF(CIV.!14:14,"AAAAAEs4nV0=",0)</f>
        <v>0</v>
      </c>
      <c r="CQ9" t="e">
        <f>AND(CIV.!A14,"AAAAAEs4nV4=")</f>
        <v>#VALUE!</v>
      </c>
      <c r="CR9" t="e">
        <f>AND(CIV.!B14,"AAAAAEs4nV8=")</f>
        <v>#VALUE!</v>
      </c>
      <c r="CS9" t="e">
        <f>AND(CIV.!C14,"AAAAAEs4nWA=")</f>
        <v>#VALUE!</v>
      </c>
      <c r="CT9" t="e">
        <f>AND(CIV.!D14,"AAAAAEs4nWE=")</f>
        <v>#VALUE!</v>
      </c>
      <c r="CU9" t="e">
        <f>AND(CIV.!E14,"AAAAAEs4nWI=")</f>
        <v>#VALUE!</v>
      </c>
      <c r="CV9" t="e">
        <f>AND(CIV.!F14,"AAAAAEs4nWM=")</f>
        <v>#VALUE!</v>
      </c>
      <c r="CW9" t="e">
        <f>AND(CIV.!G14,"AAAAAEs4nWQ=")</f>
        <v>#VALUE!</v>
      </c>
      <c r="CX9" t="e">
        <f>AND(CIV.!H14,"AAAAAEs4nWU=")</f>
        <v>#VALUE!</v>
      </c>
      <c r="CY9" t="e">
        <f>AND(CIV.!I14,"AAAAAEs4nWY=")</f>
        <v>#VALUE!</v>
      </c>
      <c r="CZ9" t="e">
        <f>AND(CIV.!J14,"AAAAAEs4nWc=")</f>
        <v>#VALUE!</v>
      </c>
      <c r="DA9" t="e">
        <f>AND(CIV.!K14,"AAAAAEs4nWg=")</f>
        <v>#VALUE!</v>
      </c>
      <c r="DB9" t="e">
        <f>AND(CIV.!L14,"AAAAAEs4nWk=")</f>
        <v>#VALUE!</v>
      </c>
      <c r="DC9">
        <f>IF(CIV.!15:15,"AAAAAEs4nWo=",0)</f>
        <v>0</v>
      </c>
      <c r="DD9" t="e">
        <f>AND(CIV.!A15,"AAAAAEs4nWs=")</f>
        <v>#VALUE!</v>
      </c>
      <c r="DE9" t="e">
        <f>AND(CIV.!B15,"AAAAAEs4nWw=")</f>
        <v>#VALUE!</v>
      </c>
      <c r="DF9" t="e">
        <f>AND(CIV.!C15,"AAAAAEs4nW0=")</f>
        <v>#VALUE!</v>
      </c>
      <c r="DG9" t="e">
        <f>AND(CIV.!D15,"AAAAAEs4nW4=")</f>
        <v>#VALUE!</v>
      </c>
      <c r="DH9" t="e">
        <f>AND(CIV.!E15,"AAAAAEs4nW8=")</f>
        <v>#VALUE!</v>
      </c>
      <c r="DI9" t="e">
        <f>AND(CIV.!F15,"AAAAAEs4nXA=")</f>
        <v>#VALUE!</v>
      </c>
      <c r="DJ9" t="e">
        <f>AND(CIV.!G15,"AAAAAEs4nXE=")</f>
        <v>#VALUE!</v>
      </c>
      <c r="DK9" t="e">
        <f>AND(CIV.!H15,"AAAAAEs4nXI=")</f>
        <v>#VALUE!</v>
      </c>
      <c r="DL9" t="e">
        <f>AND(CIV.!I15,"AAAAAEs4nXM=")</f>
        <v>#VALUE!</v>
      </c>
      <c r="DM9" t="e">
        <f>AND(CIV.!J15,"AAAAAEs4nXQ=")</f>
        <v>#VALUE!</v>
      </c>
      <c r="DN9" t="e">
        <f>AND(CIV.!K15,"AAAAAEs4nXU=")</f>
        <v>#VALUE!</v>
      </c>
      <c r="DO9" t="e">
        <f>AND(CIV.!L15,"AAAAAEs4nXY=")</f>
        <v>#VALUE!</v>
      </c>
      <c r="DP9">
        <f>IF(CIV.!16:16,"AAAAAEs4nXc=",0)</f>
        <v>0</v>
      </c>
      <c r="DQ9" t="e">
        <f>AND(CIV.!A16,"AAAAAEs4nXg=")</f>
        <v>#VALUE!</v>
      </c>
      <c r="DR9" t="e">
        <f>AND(CIV.!B16,"AAAAAEs4nXk=")</f>
        <v>#VALUE!</v>
      </c>
      <c r="DS9" t="e">
        <f>AND(CIV.!C16,"AAAAAEs4nXo=")</f>
        <v>#VALUE!</v>
      </c>
      <c r="DT9" t="e">
        <f>AND(CIV.!D16,"AAAAAEs4nXs=")</f>
        <v>#VALUE!</v>
      </c>
      <c r="DU9" t="e">
        <f>AND(CIV.!E16,"AAAAAEs4nXw=")</f>
        <v>#VALUE!</v>
      </c>
      <c r="DV9" t="e">
        <f>AND(CIV.!F16,"AAAAAEs4nX0=")</f>
        <v>#VALUE!</v>
      </c>
      <c r="DW9" t="e">
        <f>AND(CIV.!G16,"AAAAAEs4nX4=")</f>
        <v>#VALUE!</v>
      </c>
      <c r="DX9" t="e">
        <f>AND(CIV.!H16,"AAAAAEs4nX8=")</f>
        <v>#VALUE!</v>
      </c>
      <c r="DY9" t="e">
        <f>AND(CIV.!I16,"AAAAAEs4nYA=")</f>
        <v>#VALUE!</v>
      </c>
      <c r="DZ9" t="e">
        <f>AND(CIV.!J16,"AAAAAEs4nYE=")</f>
        <v>#VALUE!</v>
      </c>
      <c r="EA9" t="e">
        <f>AND(CIV.!K16,"AAAAAEs4nYI=")</f>
        <v>#VALUE!</v>
      </c>
      <c r="EB9" t="e">
        <f>AND(CIV.!L16,"AAAAAEs4nYM=")</f>
        <v>#VALUE!</v>
      </c>
      <c r="EC9">
        <f>IF(CIV.!17:17,"AAAAAEs4nYQ=",0)</f>
        <v>0</v>
      </c>
      <c r="ED9" t="e">
        <f>AND(CIV.!A17,"AAAAAEs4nYU=")</f>
        <v>#VALUE!</v>
      </c>
      <c r="EE9" t="e">
        <f>AND(CIV.!B17,"AAAAAEs4nYY=")</f>
        <v>#VALUE!</v>
      </c>
      <c r="EF9" t="e">
        <f>AND(CIV.!C17,"AAAAAEs4nYc=")</f>
        <v>#VALUE!</v>
      </c>
      <c r="EG9" t="e">
        <f>AND(CIV.!D17,"AAAAAEs4nYg=")</f>
        <v>#VALUE!</v>
      </c>
      <c r="EH9" t="e">
        <f>AND(CIV.!E17,"AAAAAEs4nYk=")</f>
        <v>#VALUE!</v>
      </c>
      <c r="EI9" t="e">
        <f>AND(CIV.!F17,"AAAAAEs4nYo=")</f>
        <v>#VALUE!</v>
      </c>
      <c r="EJ9" t="e">
        <f>AND(CIV.!G17,"AAAAAEs4nYs=")</f>
        <v>#VALUE!</v>
      </c>
      <c r="EK9" t="e">
        <f>AND(CIV.!H17,"AAAAAEs4nYw=")</f>
        <v>#VALUE!</v>
      </c>
      <c r="EL9" t="e">
        <f>AND(CIV.!I17,"AAAAAEs4nY0=")</f>
        <v>#VALUE!</v>
      </c>
      <c r="EM9" t="e">
        <f>AND(CIV.!J17,"AAAAAEs4nY4=")</f>
        <v>#VALUE!</v>
      </c>
      <c r="EN9" t="e">
        <f>AND(CIV.!K17,"AAAAAEs4nY8=")</f>
        <v>#VALUE!</v>
      </c>
      <c r="EO9" t="e">
        <f>AND(CIV.!L17,"AAAAAEs4nZA=")</f>
        <v>#VALUE!</v>
      </c>
      <c r="EP9">
        <f>IF(CIV.!18:18,"AAAAAEs4nZE=",0)</f>
        <v>0</v>
      </c>
      <c r="EQ9" t="e">
        <f>AND(CIV.!A18,"AAAAAEs4nZI=")</f>
        <v>#VALUE!</v>
      </c>
      <c r="ER9" t="e">
        <f>AND(CIV.!B18,"AAAAAEs4nZM=")</f>
        <v>#VALUE!</v>
      </c>
      <c r="ES9" t="e">
        <f>AND(CIV.!C18,"AAAAAEs4nZQ=")</f>
        <v>#VALUE!</v>
      </c>
      <c r="ET9" t="e">
        <f>AND(CIV.!D18,"AAAAAEs4nZU=")</f>
        <v>#VALUE!</v>
      </c>
      <c r="EU9" t="e">
        <f>AND(CIV.!E18,"AAAAAEs4nZY=")</f>
        <v>#VALUE!</v>
      </c>
      <c r="EV9" t="e">
        <f>AND(CIV.!F18,"AAAAAEs4nZc=")</f>
        <v>#VALUE!</v>
      </c>
      <c r="EW9" t="e">
        <f>AND(CIV.!G18,"AAAAAEs4nZg=")</f>
        <v>#VALUE!</v>
      </c>
      <c r="EX9" t="e">
        <f>AND(CIV.!H18,"AAAAAEs4nZk=")</f>
        <v>#VALUE!</v>
      </c>
      <c r="EY9" t="e">
        <f>AND(CIV.!I18,"AAAAAEs4nZo=")</f>
        <v>#VALUE!</v>
      </c>
      <c r="EZ9" t="e">
        <f>AND(CIV.!J18,"AAAAAEs4nZs=")</f>
        <v>#VALUE!</v>
      </c>
      <c r="FA9" t="e">
        <f>AND(CIV.!K18,"AAAAAEs4nZw=")</f>
        <v>#VALUE!</v>
      </c>
      <c r="FB9" t="e">
        <f>AND(CIV.!L18,"AAAAAEs4nZ0=")</f>
        <v>#VALUE!</v>
      </c>
      <c r="FC9">
        <f>IF(CIV.!19:19,"AAAAAEs4nZ4=",0)</f>
        <v>0</v>
      </c>
      <c r="FD9" t="e">
        <f>AND(CIV.!A19,"AAAAAEs4nZ8=")</f>
        <v>#VALUE!</v>
      </c>
      <c r="FE9" t="e">
        <f>AND(CIV.!B19,"AAAAAEs4naA=")</f>
        <v>#VALUE!</v>
      </c>
      <c r="FF9" t="e">
        <f>AND(CIV.!C19,"AAAAAEs4naE=")</f>
        <v>#VALUE!</v>
      </c>
      <c r="FG9" t="e">
        <f>AND(CIV.!D19,"AAAAAEs4naI=")</f>
        <v>#VALUE!</v>
      </c>
      <c r="FH9" t="e">
        <f>AND(CIV.!E19,"AAAAAEs4naM=")</f>
        <v>#VALUE!</v>
      </c>
      <c r="FI9" t="e">
        <f>AND(CIV.!F19,"AAAAAEs4naQ=")</f>
        <v>#VALUE!</v>
      </c>
      <c r="FJ9" t="e">
        <f>AND(CIV.!G19,"AAAAAEs4naU=")</f>
        <v>#VALUE!</v>
      </c>
      <c r="FK9" t="e">
        <f>AND(CIV.!H19,"AAAAAEs4naY=")</f>
        <v>#VALUE!</v>
      </c>
      <c r="FL9" t="e">
        <f>AND(CIV.!I19,"AAAAAEs4nac=")</f>
        <v>#VALUE!</v>
      </c>
      <c r="FM9" t="e">
        <f>AND(CIV.!J19,"AAAAAEs4nag=")</f>
        <v>#VALUE!</v>
      </c>
      <c r="FN9" t="e">
        <f>AND(CIV.!K19,"AAAAAEs4nak=")</f>
        <v>#VALUE!</v>
      </c>
      <c r="FO9" t="e">
        <f>AND(CIV.!L19,"AAAAAEs4nao=")</f>
        <v>#VALUE!</v>
      </c>
      <c r="FP9">
        <f>IF(CIV.!20:20,"AAAAAEs4nas=",0)</f>
        <v>0</v>
      </c>
      <c r="FQ9" t="e">
        <f>AND(CIV.!A20,"AAAAAEs4naw=")</f>
        <v>#VALUE!</v>
      </c>
      <c r="FR9" t="e">
        <f>AND(CIV.!B20,"AAAAAEs4na0=")</f>
        <v>#VALUE!</v>
      </c>
      <c r="FS9" t="e">
        <f>AND(CIV.!C20,"AAAAAEs4na4=")</f>
        <v>#VALUE!</v>
      </c>
      <c r="FT9" t="e">
        <f>AND(CIV.!D20,"AAAAAEs4na8=")</f>
        <v>#VALUE!</v>
      </c>
      <c r="FU9" t="e">
        <f>AND(CIV.!E20,"AAAAAEs4nbA=")</f>
        <v>#VALUE!</v>
      </c>
      <c r="FV9" t="e">
        <f>AND(CIV.!F20,"AAAAAEs4nbE=")</f>
        <v>#VALUE!</v>
      </c>
      <c r="FW9" t="e">
        <f>AND(CIV.!G20,"AAAAAEs4nbI=")</f>
        <v>#VALUE!</v>
      </c>
      <c r="FX9" t="e">
        <f>AND(CIV.!H20,"AAAAAEs4nbM=")</f>
        <v>#VALUE!</v>
      </c>
      <c r="FY9" t="e">
        <f>AND(CIV.!I20,"AAAAAEs4nbQ=")</f>
        <v>#VALUE!</v>
      </c>
      <c r="FZ9" t="e">
        <f>AND(CIV.!J20,"AAAAAEs4nbU=")</f>
        <v>#VALUE!</v>
      </c>
      <c r="GA9" t="e">
        <f>AND(CIV.!K20,"AAAAAEs4nbY=")</f>
        <v>#VALUE!</v>
      </c>
      <c r="GB9" t="e">
        <f>AND(CIV.!L20,"AAAAAEs4nbc=")</f>
        <v>#VALUE!</v>
      </c>
      <c r="GC9">
        <f>IF(CIV.!21:21,"AAAAAEs4nbg=",0)</f>
        <v>0</v>
      </c>
      <c r="GD9" t="e">
        <f>AND(CIV.!A21,"AAAAAEs4nbk=")</f>
        <v>#VALUE!</v>
      </c>
      <c r="GE9" t="e">
        <f>AND(CIV.!B21,"AAAAAEs4nbo=")</f>
        <v>#VALUE!</v>
      </c>
      <c r="GF9" t="e">
        <f>AND(CIV.!C21,"AAAAAEs4nbs=")</f>
        <v>#VALUE!</v>
      </c>
      <c r="GG9" t="e">
        <f>AND(CIV.!D21,"AAAAAEs4nbw=")</f>
        <v>#VALUE!</v>
      </c>
      <c r="GH9" t="e">
        <f>AND(CIV.!E21,"AAAAAEs4nb0=")</f>
        <v>#VALUE!</v>
      </c>
      <c r="GI9" t="e">
        <f>AND(CIV.!F21,"AAAAAEs4nb4=")</f>
        <v>#VALUE!</v>
      </c>
      <c r="GJ9" t="e">
        <f>AND(CIV.!G21,"AAAAAEs4nb8=")</f>
        <v>#VALUE!</v>
      </c>
      <c r="GK9" t="e">
        <f>AND(CIV.!H21,"AAAAAEs4ncA=")</f>
        <v>#VALUE!</v>
      </c>
      <c r="GL9" t="e">
        <f>AND(CIV.!I21,"AAAAAEs4ncE=")</f>
        <v>#VALUE!</v>
      </c>
      <c r="GM9" t="e">
        <f>AND(CIV.!J21,"AAAAAEs4ncI=")</f>
        <v>#VALUE!</v>
      </c>
      <c r="GN9" t="e">
        <f>AND(CIV.!K21,"AAAAAEs4ncM=")</f>
        <v>#VALUE!</v>
      </c>
      <c r="GO9" t="e">
        <f>AND(CIV.!L21,"AAAAAEs4ncQ=")</f>
        <v>#VALUE!</v>
      </c>
      <c r="GP9">
        <f>IF(CIV.!22:22,"AAAAAEs4ncU=",0)</f>
        <v>0</v>
      </c>
      <c r="GQ9" t="e">
        <f>AND(CIV.!A22,"AAAAAEs4ncY=")</f>
        <v>#VALUE!</v>
      </c>
      <c r="GR9" t="e">
        <f>AND(CIV.!B22,"AAAAAEs4ncc=")</f>
        <v>#VALUE!</v>
      </c>
      <c r="GS9" t="e">
        <f>AND(CIV.!C22,"AAAAAEs4ncg=")</f>
        <v>#VALUE!</v>
      </c>
      <c r="GT9" t="e">
        <f>AND(CIV.!D22,"AAAAAEs4nck=")</f>
        <v>#VALUE!</v>
      </c>
      <c r="GU9" t="e">
        <f>AND(CIV.!E22,"AAAAAEs4nco=")</f>
        <v>#VALUE!</v>
      </c>
      <c r="GV9" t="e">
        <f>AND(CIV.!F22,"AAAAAEs4ncs=")</f>
        <v>#VALUE!</v>
      </c>
      <c r="GW9" t="e">
        <f>AND(CIV.!G22,"AAAAAEs4ncw=")</f>
        <v>#VALUE!</v>
      </c>
      <c r="GX9" t="e">
        <f>AND(CIV.!H22,"AAAAAEs4nc0=")</f>
        <v>#VALUE!</v>
      </c>
      <c r="GY9" t="e">
        <f>AND(CIV.!I22,"AAAAAEs4nc4=")</f>
        <v>#VALUE!</v>
      </c>
      <c r="GZ9" t="e">
        <f>AND(CIV.!J22,"AAAAAEs4nc8=")</f>
        <v>#VALUE!</v>
      </c>
      <c r="HA9" t="e">
        <f>AND(CIV.!K22,"AAAAAEs4ndA=")</f>
        <v>#VALUE!</v>
      </c>
      <c r="HB9" t="e">
        <f>AND(CIV.!L22,"AAAAAEs4ndE=")</f>
        <v>#VALUE!</v>
      </c>
      <c r="HC9">
        <f>IF(CIV.!23:23,"AAAAAEs4ndI=",0)</f>
        <v>0</v>
      </c>
      <c r="HD9" t="e">
        <f>AND(CIV.!A23,"AAAAAEs4ndM=")</f>
        <v>#VALUE!</v>
      </c>
      <c r="HE9" t="e">
        <f>AND(CIV.!B23,"AAAAAEs4ndQ=")</f>
        <v>#VALUE!</v>
      </c>
      <c r="HF9" t="e">
        <f>AND(CIV.!C23,"AAAAAEs4ndU=")</f>
        <v>#VALUE!</v>
      </c>
      <c r="HG9" t="e">
        <f>AND(CIV.!D23,"AAAAAEs4ndY=")</f>
        <v>#VALUE!</v>
      </c>
      <c r="HH9" t="e">
        <f>AND(CIV.!E23,"AAAAAEs4ndc=")</f>
        <v>#VALUE!</v>
      </c>
      <c r="HI9" t="e">
        <f>AND(CIV.!F23,"AAAAAEs4ndg=")</f>
        <v>#VALUE!</v>
      </c>
      <c r="HJ9" t="e">
        <f>AND(CIV.!G23,"AAAAAEs4ndk=")</f>
        <v>#VALUE!</v>
      </c>
      <c r="HK9" t="e">
        <f>AND(CIV.!H23,"AAAAAEs4ndo=")</f>
        <v>#VALUE!</v>
      </c>
      <c r="HL9" t="e">
        <f>AND(CIV.!I23,"AAAAAEs4nds=")</f>
        <v>#VALUE!</v>
      </c>
      <c r="HM9" t="e">
        <f>AND(CIV.!J23,"AAAAAEs4ndw=")</f>
        <v>#VALUE!</v>
      </c>
      <c r="HN9" t="e">
        <f>AND(CIV.!K23,"AAAAAEs4nd0=")</f>
        <v>#VALUE!</v>
      </c>
      <c r="HO9" t="e">
        <f>AND(CIV.!L23,"AAAAAEs4nd4=")</f>
        <v>#VALUE!</v>
      </c>
      <c r="HP9">
        <f>IF(CIV.!24:24,"AAAAAEs4nd8=",0)</f>
        <v>0</v>
      </c>
      <c r="HQ9" t="e">
        <f>AND(CIV.!A24,"AAAAAEs4neA=")</f>
        <v>#VALUE!</v>
      </c>
      <c r="HR9" t="e">
        <f>AND(CIV.!B24,"AAAAAEs4neE=")</f>
        <v>#VALUE!</v>
      </c>
      <c r="HS9" t="e">
        <f>AND(CIV.!C24,"AAAAAEs4neI=")</f>
        <v>#VALUE!</v>
      </c>
      <c r="HT9" t="e">
        <f>AND(CIV.!D24,"AAAAAEs4neM=")</f>
        <v>#VALUE!</v>
      </c>
      <c r="HU9" t="e">
        <f>AND(CIV.!E24,"AAAAAEs4neQ=")</f>
        <v>#VALUE!</v>
      </c>
      <c r="HV9" t="e">
        <f>AND(CIV.!F24,"AAAAAEs4neU=")</f>
        <v>#VALUE!</v>
      </c>
      <c r="HW9" t="e">
        <f>AND(CIV.!G24,"AAAAAEs4neY=")</f>
        <v>#VALUE!</v>
      </c>
      <c r="HX9" t="e">
        <f>AND(CIV.!H24,"AAAAAEs4nec=")</f>
        <v>#VALUE!</v>
      </c>
      <c r="HY9" t="e">
        <f>AND(CIV.!I24,"AAAAAEs4neg=")</f>
        <v>#VALUE!</v>
      </c>
      <c r="HZ9" t="e">
        <f>AND(CIV.!J24,"AAAAAEs4nek=")</f>
        <v>#VALUE!</v>
      </c>
      <c r="IA9" t="e">
        <f>AND(CIV.!K24,"AAAAAEs4neo=")</f>
        <v>#VALUE!</v>
      </c>
      <c r="IB9" t="e">
        <f>AND(CIV.!L24,"AAAAAEs4nes=")</f>
        <v>#VALUE!</v>
      </c>
      <c r="IC9">
        <f>IF(CIV.!25:25,"AAAAAEs4new=",0)</f>
        <v>0</v>
      </c>
      <c r="ID9" t="e">
        <f>AND(CIV.!A25,"AAAAAEs4ne0=")</f>
        <v>#VALUE!</v>
      </c>
      <c r="IE9" t="e">
        <f>AND(CIV.!B25,"AAAAAEs4ne4=")</f>
        <v>#VALUE!</v>
      </c>
      <c r="IF9" t="e">
        <f>AND(CIV.!C25,"AAAAAEs4ne8=")</f>
        <v>#VALUE!</v>
      </c>
      <c r="IG9" t="e">
        <f>AND(CIV.!D25,"AAAAAEs4nfA=")</f>
        <v>#VALUE!</v>
      </c>
      <c r="IH9" t="e">
        <f>AND(CIV.!E25,"AAAAAEs4nfE=")</f>
        <v>#VALUE!</v>
      </c>
      <c r="II9" t="e">
        <f>AND(CIV.!F25,"AAAAAEs4nfI=")</f>
        <v>#VALUE!</v>
      </c>
      <c r="IJ9" t="e">
        <f>AND(CIV.!G25,"AAAAAEs4nfM=")</f>
        <v>#VALUE!</v>
      </c>
      <c r="IK9" t="e">
        <f>AND(CIV.!H25,"AAAAAEs4nfQ=")</f>
        <v>#VALUE!</v>
      </c>
      <c r="IL9" t="e">
        <f>AND(CIV.!I25,"AAAAAEs4nfU=")</f>
        <v>#VALUE!</v>
      </c>
      <c r="IM9" t="e">
        <f>AND(CIV.!J25,"AAAAAEs4nfY=")</f>
        <v>#VALUE!</v>
      </c>
      <c r="IN9" t="e">
        <f>AND(CIV.!K25,"AAAAAEs4nfc=")</f>
        <v>#VALUE!</v>
      </c>
      <c r="IO9" t="e">
        <f>AND(CIV.!L25,"AAAAAEs4nfg=")</f>
        <v>#VALUE!</v>
      </c>
      <c r="IP9">
        <f>IF(CIV.!26:26,"AAAAAEs4nfk=",0)</f>
        <v>0</v>
      </c>
      <c r="IQ9" t="e">
        <f>AND(CIV.!A26,"AAAAAEs4nfo=")</f>
        <v>#VALUE!</v>
      </c>
      <c r="IR9" t="e">
        <f>AND(CIV.!B26,"AAAAAEs4nfs=")</f>
        <v>#VALUE!</v>
      </c>
      <c r="IS9" t="e">
        <f>AND(CIV.!C26,"AAAAAEs4nfw=")</f>
        <v>#VALUE!</v>
      </c>
      <c r="IT9" t="e">
        <f>AND(CIV.!D26,"AAAAAEs4nf0=")</f>
        <v>#VALUE!</v>
      </c>
      <c r="IU9" t="e">
        <f>AND(CIV.!E26,"AAAAAEs4nf4=")</f>
        <v>#VALUE!</v>
      </c>
      <c r="IV9" t="e">
        <f>AND(CIV.!F26,"AAAAAEs4nf8=")</f>
        <v>#VALUE!</v>
      </c>
    </row>
    <row r="10" spans="1:256">
      <c r="A10" t="e">
        <f>AND(CIV.!G26,"AAAAAH+vYQA=")</f>
        <v>#VALUE!</v>
      </c>
      <c r="B10" t="e">
        <f>AND(CIV.!H26,"AAAAAH+vYQE=")</f>
        <v>#VALUE!</v>
      </c>
      <c r="C10" t="e">
        <f>AND(CIV.!I26,"AAAAAH+vYQI=")</f>
        <v>#VALUE!</v>
      </c>
      <c r="D10" t="e">
        <f>AND(CIV.!J26,"AAAAAH+vYQM=")</f>
        <v>#VALUE!</v>
      </c>
      <c r="E10" t="e">
        <f>AND(CIV.!K26,"AAAAAH+vYQQ=")</f>
        <v>#VALUE!</v>
      </c>
      <c r="F10" t="e">
        <f>AND(CIV.!L26,"AAAAAH+vYQU=")</f>
        <v>#VALUE!</v>
      </c>
      <c r="G10">
        <f>IF(CIV.!27:27,"AAAAAH+vYQY=",0)</f>
        <v>0</v>
      </c>
      <c r="H10" t="e">
        <f>AND(CIV.!A27,"AAAAAH+vYQc=")</f>
        <v>#VALUE!</v>
      </c>
      <c r="I10" t="e">
        <f>AND(CIV.!B27,"AAAAAH+vYQg=")</f>
        <v>#VALUE!</v>
      </c>
      <c r="J10" t="e">
        <f>AND(CIV.!C27,"AAAAAH+vYQk=")</f>
        <v>#VALUE!</v>
      </c>
      <c r="K10" t="e">
        <f>AND(CIV.!D27,"AAAAAH+vYQo=")</f>
        <v>#VALUE!</v>
      </c>
      <c r="L10" t="e">
        <f>AND(CIV.!E27,"AAAAAH+vYQs=")</f>
        <v>#VALUE!</v>
      </c>
      <c r="M10" t="e">
        <f>AND(CIV.!F27,"AAAAAH+vYQw=")</f>
        <v>#VALUE!</v>
      </c>
      <c r="N10" t="e">
        <f>AND(CIV.!G27,"AAAAAH+vYQ0=")</f>
        <v>#VALUE!</v>
      </c>
      <c r="O10" t="e">
        <f>AND(CIV.!H27,"AAAAAH+vYQ4=")</f>
        <v>#VALUE!</v>
      </c>
      <c r="P10" t="e">
        <f>AND(CIV.!I27,"AAAAAH+vYQ8=")</f>
        <v>#VALUE!</v>
      </c>
      <c r="Q10" t="e">
        <f>AND(CIV.!J27,"AAAAAH+vYRA=")</f>
        <v>#VALUE!</v>
      </c>
      <c r="R10" t="e">
        <f>AND(CIV.!K27,"AAAAAH+vYRE=")</f>
        <v>#VALUE!</v>
      </c>
      <c r="S10" t="e">
        <f>AND(CIV.!L27,"AAAAAH+vYRI=")</f>
        <v>#VALUE!</v>
      </c>
      <c r="T10">
        <f>IF(CIV.!28:28,"AAAAAH+vYRM=",0)</f>
        <v>0</v>
      </c>
      <c r="U10" t="e">
        <f>AND(CIV.!A28,"AAAAAH+vYRQ=")</f>
        <v>#VALUE!</v>
      </c>
      <c r="V10" t="e">
        <f>AND(CIV.!B28,"AAAAAH+vYRU=")</f>
        <v>#VALUE!</v>
      </c>
      <c r="W10" t="e">
        <f>AND(CIV.!C28,"AAAAAH+vYRY=")</f>
        <v>#VALUE!</v>
      </c>
      <c r="X10" t="e">
        <f>AND(CIV.!D28,"AAAAAH+vYRc=")</f>
        <v>#VALUE!</v>
      </c>
      <c r="Y10" t="e">
        <f>AND(CIV.!E28,"AAAAAH+vYRg=")</f>
        <v>#VALUE!</v>
      </c>
      <c r="Z10" t="e">
        <f>AND(CIV.!F28,"AAAAAH+vYRk=")</f>
        <v>#VALUE!</v>
      </c>
      <c r="AA10" t="e">
        <f>AND(CIV.!G28,"AAAAAH+vYRo=")</f>
        <v>#VALUE!</v>
      </c>
      <c r="AB10" t="e">
        <f>AND(CIV.!H28,"AAAAAH+vYRs=")</f>
        <v>#VALUE!</v>
      </c>
      <c r="AC10" t="e">
        <f>AND(CIV.!I28,"AAAAAH+vYRw=")</f>
        <v>#VALUE!</v>
      </c>
      <c r="AD10" t="e">
        <f>AND(CIV.!J28,"AAAAAH+vYR0=")</f>
        <v>#VALUE!</v>
      </c>
      <c r="AE10" t="e">
        <f>AND(CIV.!K28,"AAAAAH+vYR4=")</f>
        <v>#VALUE!</v>
      </c>
      <c r="AF10" t="e">
        <f>AND(CIV.!L28,"AAAAAH+vYR8=")</f>
        <v>#VALUE!</v>
      </c>
      <c r="AG10">
        <f>IF(CIV.!29:29,"AAAAAH+vYSA=",0)</f>
        <v>0</v>
      </c>
      <c r="AH10" t="e">
        <f>AND(CIV.!A29,"AAAAAH+vYSE=")</f>
        <v>#VALUE!</v>
      </c>
      <c r="AI10" t="e">
        <f>AND(CIV.!B29,"AAAAAH+vYSI=")</f>
        <v>#VALUE!</v>
      </c>
      <c r="AJ10" t="e">
        <f>AND(CIV.!C29,"AAAAAH+vYSM=")</f>
        <v>#VALUE!</v>
      </c>
      <c r="AK10" t="e">
        <f>AND(CIV.!D29,"AAAAAH+vYSQ=")</f>
        <v>#VALUE!</v>
      </c>
      <c r="AL10" t="e">
        <f>AND(CIV.!E29,"AAAAAH+vYSU=")</f>
        <v>#VALUE!</v>
      </c>
      <c r="AM10" t="e">
        <f>AND(CIV.!F29,"AAAAAH+vYSY=")</f>
        <v>#VALUE!</v>
      </c>
      <c r="AN10" t="e">
        <f>AND(CIV.!G29,"AAAAAH+vYSc=")</f>
        <v>#VALUE!</v>
      </c>
      <c r="AO10" t="e">
        <f>AND(CIV.!H29,"AAAAAH+vYSg=")</f>
        <v>#VALUE!</v>
      </c>
      <c r="AP10" t="e">
        <f>AND(CIV.!I29,"AAAAAH+vYSk=")</f>
        <v>#VALUE!</v>
      </c>
      <c r="AQ10" t="e">
        <f>AND(CIV.!J29,"AAAAAH+vYSo=")</f>
        <v>#VALUE!</v>
      </c>
      <c r="AR10" t="e">
        <f>AND(CIV.!K29,"AAAAAH+vYSs=")</f>
        <v>#VALUE!</v>
      </c>
      <c r="AS10" t="e">
        <f>AND(CIV.!L29,"AAAAAH+vYSw=")</f>
        <v>#VALUE!</v>
      </c>
      <c r="AT10">
        <f>IF(CIV.!30:30,"AAAAAH+vYS0=",0)</f>
        <v>0</v>
      </c>
      <c r="AU10" t="e">
        <f>AND(CIV.!A30,"AAAAAH+vYS4=")</f>
        <v>#VALUE!</v>
      </c>
      <c r="AV10" t="e">
        <f>AND(CIV.!B30,"AAAAAH+vYS8=")</f>
        <v>#VALUE!</v>
      </c>
      <c r="AW10" t="e">
        <f>AND(CIV.!C30,"AAAAAH+vYTA=")</f>
        <v>#VALUE!</v>
      </c>
      <c r="AX10" t="e">
        <f>AND(CIV.!D30,"AAAAAH+vYTE=")</f>
        <v>#VALUE!</v>
      </c>
      <c r="AY10" t="e">
        <f>AND(CIV.!E30,"AAAAAH+vYTI=")</f>
        <v>#VALUE!</v>
      </c>
      <c r="AZ10" t="e">
        <f>AND(CIV.!F30,"AAAAAH+vYTM=")</f>
        <v>#VALUE!</v>
      </c>
      <c r="BA10" t="e">
        <f>AND(CIV.!G30,"AAAAAH+vYTQ=")</f>
        <v>#VALUE!</v>
      </c>
      <c r="BB10" t="e">
        <f>AND(CIV.!H30,"AAAAAH+vYTU=")</f>
        <v>#VALUE!</v>
      </c>
      <c r="BC10" t="e">
        <f>AND(CIV.!I30,"AAAAAH+vYTY=")</f>
        <v>#VALUE!</v>
      </c>
      <c r="BD10" t="e">
        <f>AND(CIV.!J30,"AAAAAH+vYTc=")</f>
        <v>#VALUE!</v>
      </c>
      <c r="BE10" t="e">
        <f>AND(CIV.!K30,"AAAAAH+vYTg=")</f>
        <v>#VALUE!</v>
      </c>
      <c r="BF10" t="e">
        <f>AND(CIV.!L30,"AAAAAH+vYTk=")</f>
        <v>#VALUE!</v>
      </c>
      <c r="BG10">
        <f>IF(CIV.!31:31,"AAAAAH+vYTo=",0)</f>
        <v>0</v>
      </c>
      <c r="BH10" t="e">
        <f>AND(CIV.!A31,"AAAAAH+vYTs=")</f>
        <v>#VALUE!</v>
      </c>
      <c r="BI10" t="e">
        <f>AND(CIV.!B31,"AAAAAH+vYTw=")</f>
        <v>#VALUE!</v>
      </c>
      <c r="BJ10" t="e">
        <f>AND(CIV.!C31,"AAAAAH+vYT0=")</f>
        <v>#VALUE!</v>
      </c>
      <c r="BK10" t="e">
        <f>AND(CIV.!D31,"AAAAAH+vYT4=")</f>
        <v>#VALUE!</v>
      </c>
      <c r="BL10" t="e">
        <f>AND(CIV.!E31,"AAAAAH+vYT8=")</f>
        <v>#VALUE!</v>
      </c>
      <c r="BM10" t="e">
        <f>AND(CIV.!F31,"AAAAAH+vYUA=")</f>
        <v>#VALUE!</v>
      </c>
      <c r="BN10" t="e">
        <f>AND(CIV.!G31,"AAAAAH+vYUE=")</f>
        <v>#VALUE!</v>
      </c>
      <c r="BO10" t="e">
        <f>AND(CIV.!H31,"AAAAAH+vYUI=")</f>
        <v>#VALUE!</v>
      </c>
      <c r="BP10" t="e">
        <f>AND(CIV.!I31,"AAAAAH+vYUM=")</f>
        <v>#VALUE!</v>
      </c>
      <c r="BQ10" t="e">
        <f>AND(CIV.!J31,"AAAAAH+vYUQ=")</f>
        <v>#VALUE!</v>
      </c>
      <c r="BR10" t="e">
        <f>AND(CIV.!K31,"AAAAAH+vYUU=")</f>
        <v>#VALUE!</v>
      </c>
      <c r="BS10" t="e">
        <f>AND(CIV.!L31,"AAAAAH+vYUY=")</f>
        <v>#VALUE!</v>
      </c>
      <c r="BT10">
        <f>IF(CIV.!32:32,"AAAAAH+vYUc=",0)</f>
        <v>0</v>
      </c>
      <c r="BU10" t="e">
        <f>AND(CIV.!A32,"AAAAAH+vYUg=")</f>
        <v>#VALUE!</v>
      </c>
      <c r="BV10" t="e">
        <f>AND(CIV.!B32,"AAAAAH+vYUk=")</f>
        <v>#VALUE!</v>
      </c>
      <c r="BW10" t="e">
        <f>AND(CIV.!C32,"AAAAAH+vYUo=")</f>
        <v>#VALUE!</v>
      </c>
      <c r="BX10" t="e">
        <f>AND(CIV.!D32,"AAAAAH+vYUs=")</f>
        <v>#VALUE!</v>
      </c>
      <c r="BY10" t="e">
        <f>AND(CIV.!E32,"AAAAAH+vYUw=")</f>
        <v>#VALUE!</v>
      </c>
      <c r="BZ10" t="e">
        <f>AND(CIV.!F32,"AAAAAH+vYU0=")</f>
        <v>#VALUE!</v>
      </c>
      <c r="CA10" t="e">
        <f>AND(CIV.!G32,"AAAAAH+vYU4=")</f>
        <v>#VALUE!</v>
      </c>
      <c r="CB10" t="e">
        <f>AND(CIV.!H32,"AAAAAH+vYU8=")</f>
        <v>#VALUE!</v>
      </c>
      <c r="CC10" t="e">
        <f>AND(CIV.!I32,"AAAAAH+vYVA=")</f>
        <v>#VALUE!</v>
      </c>
      <c r="CD10" t="e">
        <f>AND(CIV.!J32,"AAAAAH+vYVE=")</f>
        <v>#VALUE!</v>
      </c>
      <c r="CE10" t="e">
        <f>AND(CIV.!K32,"AAAAAH+vYVI=")</f>
        <v>#VALUE!</v>
      </c>
      <c r="CF10" t="e">
        <f>AND(CIV.!L32,"AAAAAH+vYVM=")</f>
        <v>#VALUE!</v>
      </c>
      <c r="CG10">
        <f>IF(CIV.!33:33,"AAAAAH+vYVQ=",0)</f>
        <v>0</v>
      </c>
      <c r="CH10" t="e">
        <f>AND(CIV.!A33,"AAAAAH+vYVU=")</f>
        <v>#VALUE!</v>
      </c>
      <c r="CI10" t="e">
        <f>AND(CIV.!B33,"AAAAAH+vYVY=")</f>
        <v>#VALUE!</v>
      </c>
      <c r="CJ10" t="e">
        <f>AND(CIV.!C33,"AAAAAH+vYVc=")</f>
        <v>#VALUE!</v>
      </c>
      <c r="CK10" t="e">
        <f>AND(CIV.!D33,"AAAAAH+vYVg=")</f>
        <v>#VALUE!</v>
      </c>
      <c r="CL10" t="e">
        <f>AND(CIV.!E33,"AAAAAH+vYVk=")</f>
        <v>#VALUE!</v>
      </c>
      <c r="CM10" t="e">
        <f>AND(CIV.!F33,"AAAAAH+vYVo=")</f>
        <v>#VALUE!</v>
      </c>
      <c r="CN10" t="e">
        <f>AND(CIV.!G33,"AAAAAH+vYVs=")</f>
        <v>#VALUE!</v>
      </c>
      <c r="CO10" t="e">
        <f>AND(CIV.!H33,"AAAAAH+vYVw=")</f>
        <v>#VALUE!</v>
      </c>
      <c r="CP10" t="e">
        <f>AND(CIV.!I33,"AAAAAH+vYV0=")</f>
        <v>#VALUE!</v>
      </c>
      <c r="CQ10" t="e">
        <f>AND(CIV.!J33,"AAAAAH+vYV4=")</f>
        <v>#VALUE!</v>
      </c>
      <c r="CR10" t="e">
        <f>AND(CIV.!K33,"AAAAAH+vYV8=")</f>
        <v>#VALUE!</v>
      </c>
      <c r="CS10" t="e">
        <f>AND(CIV.!L33,"AAAAAH+vYWA=")</f>
        <v>#VALUE!</v>
      </c>
      <c r="CT10" t="e">
        <f>IF(CIV.!A:A,"AAAAAH+vYWE=",0)</f>
        <v>#VALUE!</v>
      </c>
      <c r="CU10">
        <f>IF(CIV.!B:B,"AAAAAH+vYWI=",0)</f>
        <v>0</v>
      </c>
      <c r="CV10">
        <f>IF(CIV.!C:C,"AAAAAH+vYWM=",0)</f>
        <v>0</v>
      </c>
      <c r="CW10">
        <f>IF(CIV.!D:D,"AAAAAH+vYWQ=",0)</f>
        <v>0</v>
      </c>
      <c r="CX10">
        <f>IF(CIV.!E:E,"AAAAAH+vYWU=",0)</f>
        <v>0</v>
      </c>
      <c r="CY10">
        <f>IF(CIV.!F:F,"AAAAAH+vYWY=",0)</f>
        <v>0</v>
      </c>
      <c r="CZ10">
        <f>IF(CIV.!G:G,"AAAAAH+vYWc=",0)</f>
        <v>0</v>
      </c>
      <c r="DA10">
        <f>IF(CIV.!H:H,"AAAAAH+vYWg=",0)</f>
        <v>0</v>
      </c>
      <c r="DB10">
        <f>IF(CIV.!I:I,"AAAAAH+vYWk=",0)</f>
        <v>0</v>
      </c>
      <c r="DC10">
        <f>IF(CIV.!J:J,"AAAAAH+vYWo=",0)</f>
        <v>0</v>
      </c>
      <c r="DD10">
        <f>IF(CIV.!K:K,"AAAAAH+vYWs=",0)</f>
        <v>0</v>
      </c>
      <c r="DE10">
        <f>IF(CIV.!L:L,"AAAAAH+vYWw=",0)</f>
        <v>0</v>
      </c>
      <c r="DF10">
        <f>IF(CIENCIAS!1:1,"AAAAAH+vYW0=",0)</f>
        <v>0</v>
      </c>
      <c r="DG10" t="e">
        <f>AND(CIENCIAS!A1,"AAAAAH+vYW4=")</f>
        <v>#VALUE!</v>
      </c>
      <c r="DH10" t="e">
        <f>AND(CIENCIAS!B1,"AAAAAH+vYW8=")</f>
        <v>#VALUE!</v>
      </c>
      <c r="DI10" t="e">
        <f>AND(CIENCIAS!C1,"AAAAAH+vYXA=")</f>
        <v>#VALUE!</v>
      </c>
      <c r="DJ10" t="e">
        <f>AND(CIENCIAS!D1,"AAAAAH+vYXE=")</f>
        <v>#VALUE!</v>
      </c>
      <c r="DK10" t="e">
        <f>AND(CIENCIAS!E1,"AAAAAH+vYXI=")</f>
        <v>#VALUE!</v>
      </c>
      <c r="DL10" t="e">
        <f>AND(CIENCIAS!F1,"AAAAAH+vYXM=")</f>
        <v>#VALUE!</v>
      </c>
      <c r="DM10" t="e">
        <f>AND(CIENCIAS!G1,"AAAAAH+vYXQ=")</f>
        <v>#VALUE!</v>
      </c>
      <c r="DN10" t="e">
        <f>AND(CIENCIAS!H1,"AAAAAH+vYXU=")</f>
        <v>#VALUE!</v>
      </c>
      <c r="DO10" t="e">
        <f>AND(CIENCIAS!I1,"AAAAAH+vYXY=")</f>
        <v>#VALUE!</v>
      </c>
      <c r="DP10" t="e">
        <f>AND(CIENCIAS!J1,"AAAAAH+vYXc=")</f>
        <v>#VALUE!</v>
      </c>
      <c r="DQ10" t="e">
        <f>AND(CIENCIAS!K1,"AAAAAH+vYXg=")</f>
        <v>#VALUE!</v>
      </c>
      <c r="DR10" t="e">
        <f>AND(CIENCIAS!L1,"AAAAAH+vYXk=")</f>
        <v>#VALUE!</v>
      </c>
      <c r="DS10">
        <f>IF(CIENCIAS!2:2,"AAAAAH+vYXo=",0)</f>
        <v>0</v>
      </c>
      <c r="DT10" t="e">
        <f>AND(CIENCIAS!A2,"AAAAAH+vYXs=")</f>
        <v>#VALUE!</v>
      </c>
      <c r="DU10" t="e">
        <f>AND(CIENCIAS!B2,"AAAAAH+vYXw=")</f>
        <v>#VALUE!</v>
      </c>
      <c r="DV10" t="e">
        <f>AND(CIENCIAS!C2,"AAAAAH+vYX0=")</f>
        <v>#VALUE!</v>
      </c>
      <c r="DW10" t="e">
        <f>AND(CIENCIAS!D2,"AAAAAH+vYX4=")</f>
        <v>#VALUE!</v>
      </c>
      <c r="DX10" t="e">
        <f>AND(CIENCIAS!E2,"AAAAAH+vYX8=")</f>
        <v>#VALUE!</v>
      </c>
      <c r="DY10" t="e">
        <f>AND(CIENCIAS!F2,"AAAAAH+vYYA=")</f>
        <v>#VALUE!</v>
      </c>
      <c r="DZ10" t="e">
        <f>AND(CIENCIAS!G2,"AAAAAH+vYYE=")</f>
        <v>#VALUE!</v>
      </c>
      <c r="EA10" t="e">
        <f>AND(CIENCIAS!H2,"AAAAAH+vYYI=")</f>
        <v>#VALUE!</v>
      </c>
      <c r="EB10" t="e">
        <f>AND(CIENCIAS!I2,"AAAAAH+vYYM=")</f>
        <v>#VALUE!</v>
      </c>
      <c r="EC10" t="e">
        <f>AND(CIENCIAS!J2,"AAAAAH+vYYQ=")</f>
        <v>#VALUE!</v>
      </c>
      <c r="ED10" t="e">
        <f>AND(CIENCIAS!K2,"AAAAAH+vYYU=")</f>
        <v>#VALUE!</v>
      </c>
      <c r="EE10" t="e">
        <f>AND(CIENCIAS!L2,"AAAAAH+vYYY=")</f>
        <v>#VALUE!</v>
      </c>
      <c r="EF10">
        <f>IF(CIENCIAS!3:3,"AAAAAH+vYYc=",0)</f>
        <v>0</v>
      </c>
      <c r="EG10" t="e">
        <f>AND(CIENCIAS!A3,"AAAAAH+vYYg=")</f>
        <v>#VALUE!</v>
      </c>
      <c r="EH10" t="e">
        <f>AND(CIENCIAS!B3,"AAAAAH+vYYk=")</f>
        <v>#VALUE!</v>
      </c>
      <c r="EI10" t="e">
        <f>AND(CIENCIAS!C3,"AAAAAH+vYYo=")</f>
        <v>#VALUE!</v>
      </c>
      <c r="EJ10" t="e">
        <f>AND(CIENCIAS!D3,"AAAAAH+vYYs=")</f>
        <v>#VALUE!</v>
      </c>
      <c r="EK10" t="e">
        <f>AND(CIENCIAS!E3,"AAAAAH+vYYw=")</f>
        <v>#VALUE!</v>
      </c>
      <c r="EL10" t="e">
        <f>AND(CIENCIAS!F3,"AAAAAH+vYY0=")</f>
        <v>#VALUE!</v>
      </c>
      <c r="EM10" t="e">
        <f>AND(CIENCIAS!G3,"AAAAAH+vYY4=")</f>
        <v>#VALUE!</v>
      </c>
      <c r="EN10" t="e">
        <f>AND(CIENCIAS!H3,"AAAAAH+vYY8=")</f>
        <v>#VALUE!</v>
      </c>
      <c r="EO10" t="e">
        <f>AND(CIENCIAS!I3,"AAAAAH+vYZA=")</f>
        <v>#VALUE!</v>
      </c>
      <c r="EP10" t="e">
        <f>AND(CIENCIAS!J3,"AAAAAH+vYZE=")</f>
        <v>#VALUE!</v>
      </c>
      <c r="EQ10" t="e">
        <f>AND(CIENCIAS!K3,"AAAAAH+vYZI=")</f>
        <v>#VALUE!</v>
      </c>
      <c r="ER10" t="e">
        <f>AND(CIENCIAS!L3,"AAAAAH+vYZM=")</f>
        <v>#VALUE!</v>
      </c>
      <c r="ES10">
        <f>IF(CIENCIAS!4:4,"AAAAAH+vYZQ=",0)</f>
        <v>0</v>
      </c>
      <c r="ET10" t="e">
        <f>AND(CIENCIAS!A4,"AAAAAH+vYZU=")</f>
        <v>#VALUE!</v>
      </c>
      <c r="EU10" t="e">
        <f>AND(CIENCIAS!B4,"AAAAAH+vYZY=")</f>
        <v>#VALUE!</v>
      </c>
      <c r="EV10" t="e">
        <f>AND(CIENCIAS!C4,"AAAAAH+vYZc=")</f>
        <v>#VALUE!</v>
      </c>
      <c r="EW10" t="e">
        <f>AND(CIENCIAS!D4,"AAAAAH+vYZg=")</f>
        <v>#VALUE!</v>
      </c>
      <c r="EX10" t="e">
        <f>AND(CIENCIAS!E4,"AAAAAH+vYZk=")</f>
        <v>#VALUE!</v>
      </c>
      <c r="EY10" t="e">
        <f>AND(CIENCIAS!F4,"AAAAAH+vYZo=")</f>
        <v>#VALUE!</v>
      </c>
      <c r="EZ10" t="e">
        <f>AND(CIENCIAS!G4,"AAAAAH+vYZs=")</f>
        <v>#VALUE!</v>
      </c>
      <c r="FA10" t="e">
        <f>AND(CIENCIAS!H4,"AAAAAH+vYZw=")</f>
        <v>#VALUE!</v>
      </c>
      <c r="FB10" t="e">
        <f>AND(CIENCIAS!I4,"AAAAAH+vYZ0=")</f>
        <v>#VALUE!</v>
      </c>
      <c r="FC10" t="e">
        <f>AND(CIENCIAS!J4,"AAAAAH+vYZ4=")</f>
        <v>#VALUE!</v>
      </c>
      <c r="FD10" t="e">
        <f>AND(CIENCIAS!K4,"AAAAAH+vYZ8=")</f>
        <v>#VALUE!</v>
      </c>
      <c r="FE10" t="e">
        <f>AND(CIENCIAS!L4,"AAAAAH+vYaA=")</f>
        <v>#VALUE!</v>
      </c>
      <c r="FF10">
        <f>IF(CIENCIAS!5:5,"AAAAAH+vYaE=",0)</f>
        <v>0</v>
      </c>
      <c r="FG10" t="e">
        <f>AND(CIENCIAS!A5,"AAAAAH+vYaI=")</f>
        <v>#VALUE!</v>
      </c>
      <c r="FH10" t="e">
        <f>AND(CIENCIAS!B5,"AAAAAH+vYaM=")</f>
        <v>#VALUE!</v>
      </c>
      <c r="FI10" t="e">
        <f>AND(CIENCIAS!C5,"AAAAAH+vYaQ=")</f>
        <v>#VALUE!</v>
      </c>
      <c r="FJ10" t="e">
        <f>AND(CIENCIAS!D5,"AAAAAH+vYaU=")</f>
        <v>#VALUE!</v>
      </c>
      <c r="FK10" t="e">
        <f>AND(CIENCIAS!E5,"AAAAAH+vYaY=")</f>
        <v>#VALUE!</v>
      </c>
      <c r="FL10" t="e">
        <f>AND(CIENCIAS!F5,"AAAAAH+vYac=")</f>
        <v>#VALUE!</v>
      </c>
      <c r="FM10" t="e">
        <f>AND(CIENCIAS!G5,"AAAAAH+vYag=")</f>
        <v>#VALUE!</v>
      </c>
      <c r="FN10" t="e">
        <f>AND(CIENCIAS!H5,"AAAAAH+vYak=")</f>
        <v>#VALUE!</v>
      </c>
      <c r="FO10" t="e">
        <f>AND(CIENCIAS!I5,"AAAAAH+vYao=")</f>
        <v>#VALUE!</v>
      </c>
      <c r="FP10" t="e">
        <f>AND(CIENCIAS!J5,"AAAAAH+vYas=")</f>
        <v>#VALUE!</v>
      </c>
      <c r="FQ10" t="e">
        <f>AND(CIENCIAS!K5,"AAAAAH+vYaw=")</f>
        <v>#VALUE!</v>
      </c>
      <c r="FR10" t="e">
        <f>AND(CIENCIAS!L5,"AAAAAH+vYa0=")</f>
        <v>#VALUE!</v>
      </c>
      <c r="FS10">
        <f>IF(CIENCIAS!6:6,"AAAAAH+vYa4=",0)</f>
        <v>0</v>
      </c>
      <c r="FT10" t="e">
        <f>AND(CIENCIAS!A6,"AAAAAH+vYa8=")</f>
        <v>#VALUE!</v>
      </c>
      <c r="FU10" t="e">
        <f>AND(CIENCIAS!B6,"AAAAAH+vYbA=")</f>
        <v>#VALUE!</v>
      </c>
      <c r="FV10" t="e">
        <f>AND(CIENCIAS!C6,"AAAAAH+vYbE=")</f>
        <v>#VALUE!</v>
      </c>
      <c r="FW10" t="e">
        <f>AND(CIENCIAS!D6,"AAAAAH+vYbI=")</f>
        <v>#VALUE!</v>
      </c>
      <c r="FX10" t="e">
        <f>AND(CIENCIAS!E6,"AAAAAH+vYbM=")</f>
        <v>#VALUE!</v>
      </c>
      <c r="FY10" t="e">
        <f>AND(CIENCIAS!F6,"AAAAAH+vYbQ=")</f>
        <v>#VALUE!</v>
      </c>
      <c r="FZ10" t="e">
        <f>AND(CIENCIAS!G6,"AAAAAH+vYbU=")</f>
        <v>#VALUE!</v>
      </c>
      <c r="GA10" t="e">
        <f>AND(CIENCIAS!H6,"AAAAAH+vYbY=")</f>
        <v>#VALUE!</v>
      </c>
      <c r="GB10" t="e">
        <f>AND(CIENCIAS!I6,"AAAAAH+vYbc=")</f>
        <v>#VALUE!</v>
      </c>
      <c r="GC10" t="e">
        <f>AND(CIENCIAS!J6,"AAAAAH+vYbg=")</f>
        <v>#VALUE!</v>
      </c>
      <c r="GD10" t="e">
        <f>AND(CIENCIAS!K6,"AAAAAH+vYbk=")</f>
        <v>#VALUE!</v>
      </c>
      <c r="GE10" t="e">
        <f>AND(CIENCIAS!L6,"AAAAAH+vYbo=")</f>
        <v>#VALUE!</v>
      </c>
      <c r="GF10">
        <f>IF(CIENCIAS!7:7,"AAAAAH+vYbs=",0)</f>
        <v>0</v>
      </c>
      <c r="GG10" t="e">
        <f>AND(CIENCIAS!A7,"AAAAAH+vYbw=")</f>
        <v>#VALUE!</v>
      </c>
      <c r="GH10" t="e">
        <f>AND(CIENCIAS!B7,"AAAAAH+vYb0=")</f>
        <v>#VALUE!</v>
      </c>
      <c r="GI10" t="e">
        <f>AND(CIENCIAS!C7,"AAAAAH+vYb4=")</f>
        <v>#VALUE!</v>
      </c>
      <c r="GJ10" t="e">
        <f>AND(CIENCIAS!D7,"AAAAAH+vYb8=")</f>
        <v>#VALUE!</v>
      </c>
      <c r="GK10" t="e">
        <f>AND(CIENCIAS!E7,"AAAAAH+vYcA=")</f>
        <v>#VALUE!</v>
      </c>
      <c r="GL10" t="e">
        <f>AND(CIENCIAS!F7,"AAAAAH+vYcE=")</f>
        <v>#VALUE!</v>
      </c>
      <c r="GM10" t="e">
        <f>AND(CIENCIAS!G7,"AAAAAH+vYcI=")</f>
        <v>#VALUE!</v>
      </c>
      <c r="GN10" t="e">
        <f>AND(CIENCIAS!H7,"AAAAAH+vYcM=")</f>
        <v>#VALUE!</v>
      </c>
      <c r="GO10" t="e">
        <f>AND(CIENCIAS!I7,"AAAAAH+vYcQ=")</f>
        <v>#VALUE!</v>
      </c>
      <c r="GP10" t="e">
        <f>AND(CIENCIAS!J7,"AAAAAH+vYcU=")</f>
        <v>#VALUE!</v>
      </c>
      <c r="GQ10" t="e">
        <f>AND(CIENCIAS!K7,"AAAAAH+vYcY=")</f>
        <v>#VALUE!</v>
      </c>
      <c r="GR10" t="e">
        <f>AND(CIENCIAS!L7,"AAAAAH+vYcc=")</f>
        <v>#VALUE!</v>
      </c>
      <c r="GS10">
        <f>IF(CIENCIAS!8:8,"AAAAAH+vYcg=",0)</f>
        <v>0</v>
      </c>
      <c r="GT10" t="e">
        <f>AND(CIENCIAS!A8,"AAAAAH+vYck=")</f>
        <v>#VALUE!</v>
      </c>
      <c r="GU10" t="e">
        <f>AND(CIENCIAS!B8,"AAAAAH+vYco=")</f>
        <v>#VALUE!</v>
      </c>
      <c r="GV10" t="e">
        <f>AND(CIENCIAS!C8,"AAAAAH+vYcs=")</f>
        <v>#VALUE!</v>
      </c>
      <c r="GW10" t="e">
        <f>AND(CIENCIAS!D8,"AAAAAH+vYcw=")</f>
        <v>#VALUE!</v>
      </c>
      <c r="GX10" t="e">
        <f>AND(CIENCIAS!E8,"AAAAAH+vYc0=")</f>
        <v>#VALUE!</v>
      </c>
      <c r="GY10" t="e">
        <f>AND(CIENCIAS!F8,"AAAAAH+vYc4=")</f>
        <v>#VALUE!</v>
      </c>
      <c r="GZ10" t="e">
        <f>AND(CIENCIAS!G8,"AAAAAH+vYc8=")</f>
        <v>#VALUE!</v>
      </c>
      <c r="HA10" t="e">
        <f>AND(CIENCIAS!H8,"AAAAAH+vYdA=")</f>
        <v>#VALUE!</v>
      </c>
      <c r="HB10" t="e">
        <f>AND(CIENCIAS!I8,"AAAAAH+vYdE=")</f>
        <v>#VALUE!</v>
      </c>
      <c r="HC10" t="e">
        <f>AND(CIENCIAS!J8,"AAAAAH+vYdI=")</f>
        <v>#VALUE!</v>
      </c>
      <c r="HD10" t="e">
        <f>AND(CIENCIAS!K8,"AAAAAH+vYdM=")</f>
        <v>#VALUE!</v>
      </c>
      <c r="HE10" t="e">
        <f>AND(CIENCIAS!L8,"AAAAAH+vYdQ=")</f>
        <v>#VALUE!</v>
      </c>
      <c r="HF10">
        <f>IF(CIENCIAS!9:9,"AAAAAH+vYdU=",0)</f>
        <v>0</v>
      </c>
      <c r="HG10" t="e">
        <f>AND(CIENCIAS!A9,"AAAAAH+vYdY=")</f>
        <v>#VALUE!</v>
      </c>
      <c r="HH10" t="e">
        <f>AND(CIENCIAS!B9,"AAAAAH+vYdc=")</f>
        <v>#VALUE!</v>
      </c>
      <c r="HI10" t="e">
        <f>AND(CIENCIAS!C9,"AAAAAH+vYdg=")</f>
        <v>#VALUE!</v>
      </c>
      <c r="HJ10" t="e">
        <f>AND(CIENCIAS!D9,"AAAAAH+vYdk=")</f>
        <v>#VALUE!</v>
      </c>
      <c r="HK10" t="e">
        <f>AND(CIENCIAS!E9,"AAAAAH+vYdo=")</f>
        <v>#VALUE!</v>
      </c>
      <c r="HL10" t="e">
        <f>AND(CIENCIAS!F9,"AAAAAH+vYds=")</f>
        <v>#VALUE!</v>
      </c>
      <c r="HM10" t="e">
        <f>AND(CIENCIAS!G9,"AAAAAH+vYdw=")</f>
        <v>#VALUE!</v>
      </c>
      <c r="HN10" t="e">
        <f>AND(CIENCIAS!H9,"AAAAAH+vYd0=")</f>
        <v>#VALUE!</v>
      </c>
      <c r="HO10" t="e">
        <f>AND(CIENCIAS!I9,"AAAAAH+vYd4=")</f>
        <v>#VALUE!</v>
      </c>
      <c r="HP10" t="e">
        <f>AND(CIENCIAS!J9,"AAAAAH+vYd8=")</f>
        <v>#VALUE!</v>
      </c>
      <c r="HQ10" t="e">
        <f>AND(CIENCIAS!K9,"AAAAAH+vYeA=")</f>
        <v>#VALUE!</v>
      </c>
      <c r="HR10" t="e">
        <f>AND(CIENCIAS!L9,"AAAAAH+vYeE=")</f>
        <v>#VALUE!</v>
      </c>
      <c r="HS10">
        <f>IF(CIENCIAS!10:10,"AAAAAH+vYeI=",0)</f>
        <v>0</v>
      </c>
      <c r="HT10" t="e">
        <f>AND(CIENCIAS!A10,"AAAAAH+vYeM=")</f>
        <v>#VALUE!</v>
      </c>
      <c r="HU10" t="e">
        <f>AND(CIENCIAS!B10,"AAAAAH+vYeQ=")</f>
        <v>#VALUE!</v>
      </c>
      <c r="HV10" t="e">
        <f>AND(CIENCIAS!C10,"AAAAAH+vYeU=")</f>
        <v>#VALUE!</v>
      </c>
      <c r="HW10" t="e">
        <f>AND(CIENCIAS!D10,"AAAAAH+vYeY=")</f>
        <v>#VALUE!</v>
      </c>
      <c r="HX10" t="e">
        <f>AND(CIENCIAS!E10,"AAAAAH+vYec=")</f>
        <v>#VALUE!</v>
      </c>
      <c r="HY10" t="e">
        <f>AND(CIENCIAS!F10,"AAAAAH+vYeg=")</f>
        <v>#VALUE!</v>
      </c>
      <c r="HZ10" t="e">
        <f>AND(CIENCIAS!G10,"AAAAAH+vYek=")</f>
        <v>#VALUE!</v>
      </c>
      <c r="IA10" t="e">
        <f>AND(CIENCIAS!H10,"AAAAAH+vYeo=")</f>
        <v>#VALUE!</v>
      </c>
      <c r="IB10" t="e">
        <f>AND(CIENCIAS!I10,"AAAAAH+vYes=")</f>
        <v>#VALUE!</v>
      </c>
      <c r="IC10" t="e">
        <f>AND(CIENCIAS!J10,"AAAAAH+vYew=")</f>
        <v>#VALUE!</v>
      </c>
      <c r="ID10" t="e">
        <f>AND(CIENCIAS!K10,"AAAAAH+vYe0=")</f>
        <v>#VALUE!</v>
      </c>
      <c r="IE10" t="e">
        <f>AND(CIENCIAS!L10,"AAAAAH+vYe4=")</f>
        <v>#VALUE!</v>
      </c>
      <c r="IF10">
        <f>IF(CIENCIAS!11:11,"AAAAAH+vYe8=",0)</f>
        <v>0</v>
      </c>
      <c r="IG10" t="e">
        <f>AND(CIENCIAS!A11,"AAAAAH+vYfA=")</f>
        <v>#VALUE!</v>
      </c>
      <c r="IH10" t="e">
        <f>AND(CIENCIAS!B11,"AAAAAH+vYfE=")</f>
        <v>#VALUE!</v>
      </c>
      <c r="II10" t="e">
        <f>AND(CIENCIAS!C11,"AAAAAH+vYfI=")</f>
        <v>#VALUE!</v>
      </c>
      <c r="IJ10" t="e">
        <f>AND(CIENCIAS!D11,"AAAAAH+vYfM=")</f>
        <v>#VALUE!</v>
      </c>
      <c r="IK10" t="e">
        <f>AND(CIENCIAS!E11,"AAAAAH+vYfQ=")</f>
        <v>#VALUE!</v>
      </c>
      <c r="IL10" t="e">
        <f>AND(CIENCIAS!F11,"AAAAAH+vYfU=")</f>
        <v>#VALUE!</v>
      </c>
      <c r="IM10" t="e">
        <f>AND(CIENCIAS!G11,"AAAAAH+vYfY=")</f>
        <v>#VALUE!</v>
      </c>
      <c r="IN10" t="e">
        <f>AND(CIENCIAS!H11,"AAAAAH+vYfc=")</f>
        <v>#VALUE!</v>
      </c>
      <c r="IO10" t="e">
        <f>AND(CIENCIAS!I11,"AAAAAH+vYfg=")</f>
        <v>#VALUE!</v>
      </c>
      <c r="IP10" t="e">
        <f>AND(CIENCIAS!J11,"AAAAAH+vYfk=")</f>
        <v>#VALUE!</v>
      </c>
      <c r="IQ10" t="e">
        <f>AND(CIENCIAS!K11,"AAAAAH+vYfo=")</f>
        <v>#VALUE!</v>
      </c>
      <c r="IR10" t="e">
        <f>AND(CIENCIAS!L11,"AAAAAH+vYfs=")</f>
        <v>#VALUE!</v>
      </c>
      <c r="IS10">
        <f>IF(CIENCIAS!12:12,"AAAAAH+vYfw=",0)</f>
        <v>0</v>
      </c>
      <c r="IT10" t="e">
        <f>AND(CIENCIAS!A12,"AAAAAH+vYf0=")</f>
        <v>#VALUE!</v>
      </c>
      <c r="IU10" t="e">
        <f>AND(CIENCIAS!B12,"AAAAAH+vYf4=")</f>
        <v>#VALUE!</v>
      </c>
      <c r="IV10" t="e">
        <f>AND(CIENCIAS!C12,"AAAAAH+vYf8=")</f>
        <v>#VALUE!</v>
      </c>
    </row>
    <row r="11" spans="1:256">
      <c r="A11" t="e">
        <f>AND(CIENCIAS!D12,"AAAAAD/H6wA=")</f>
        <v>#VALUE!</v>
      </c>
      <c r="B11" t="e">
        <f>AND(CIENCIAS!E12,"AAAAAD/H6wE=")</f>
        <v>#VALUE!</v>
      </c>
      <c r="C11" t="e">
        <f>AND(CIENCIAS!F12,"AAAAAD/H6wI=")</f>
        <v>#VALUE!</v>
      </c>
      <c r="D11" t="e">
        <f>AND(CIENCIAS!G12,"AAAAAD/H6wM=")</f>
        <v>#VALUE!</v>
      </c>
      <c r="E11" t="e">
        <f>AND(CIENCIAS!H12,"AAAAAD/H6wQ=")</f>
        <v>#VALUE!</v>
      </c>
      <c r="F11" t="e">
        <f>AND(CIENCIAS!I12,"AAAAAD/H6wU=")</f>
        <v>#VALUE!</v>
      </c>
      <c r="G11" t="e">
        <f>AND(CIENCIAS!J12,"AAAAAD/H6wY=")</f>
        <v>#VALUE!</v>
      </c>
      <c r="H11" t="e">
        <f>AND(CIENCIAS!K12,"AAAAAD/H6wc=")</f>
        <v>#VALUE!</v>
      </c>
      <c r="I11" t="e">
        <f>AND(CIENCIAS!L12,"AAAAAD/H6wg=")</f>
        <v>#VALUE!</v>
      </c>
      <c r="J11">
        <f>IF(CIENCIAS!13:13,"AAAAAD/H6wk=",0)</f>
        <v>0</v>
      </c>
      <c r="K11" t="e">
        <f>AND(CIENCIAS!A13,"AAAAAD/H6wo=")</f>
        <v>#VALUE!</v>
      </c>
      <c r="L11" t="e">
        <f>AND(CIENCIAS!B13,"AAAAAD/H6ws=")</f>
        <v>#VALUE!</v>
      </c>
      <c r="M11" t="e">
        <f>AND(CIENCIAS!C13,"AAAAAD/H6ww=")</f>
        <v>#VALUE!</v>
      </c>
      <c r="N11" t="e">
        <f>AND(CIENCIAS!D13,"AAAAAD/H6w0=")</f>
        <v>#VALUE!</v>
      </c>
      <c r="O11" t="e">
        <f>AND(CIENCIAS!E13,"AAAAAD/H6w4=")</f>
        <v>#VALUE!</v>
      </c>
      <c r="P11" t="e">
        <f>AND(CIENCIAS!F13,"AAAAAD/H6w8=")</f>
        <v>#VALUE!</v>
      </c>
      <c r="Q11" t="e">
        <f>AND(CIENCIAS!G13,"AAAAAD/H6xA=")</f>
        <v>#VALUE!</v>
      </c>
      <c r="R11" t="e">
        <f>AND(CIENCIAS!H13,"AAAAAD/H6xE=")</f>
        <v>#VALUE!</v>
      </c>
      <c r="S11" t="e">
        <f>AND(CIENCIAS!I13,"AAAAAD/H6xI=")</f>
        <v>#VALUE!</v>
      </c>
      <c r="T11" t="e">
        <f>AND(CIENCIAS!J13,"AAAAAD/H6xM=")</f>
        <v>#VALUE!</v>
      </c>
      <c r="U11" t="e">
        <f>AND(CIENCIAS!K13,"AAAAAD/H6xQ=")</f>
        <v>#VALUE!</v>
      </c>
      <c r="V11" t="e">
        <f>AND(CIENCIAS!L13,"AAAAAD/H6xU=")</f>
        <v>#VALUE!</v>
      </c>
      <c r="W11">
        <f>IF(CIENCIAS!14:14,"AAAAAD/H6xY=",0)</f>
        <v>0</v>
      </c>
      <c r="X11" t="e">
        <f>AND(CIENCIAS!A14,"AAAAAD/H6xc=")</f>
        <v>#VALUE!</v>
      </c>
      <c r="Y11" t="e">
        <f>AND(CIENCIAS!B14,"AAAAAD/H6xg=")</f>
        <v>#VALUE!</v>
      </c>
      <c r="Z11" t="e">
        <f>AND(CIENCIAS!C14,"AAAAAD/H6xk=")</f>
        <v>#VALUE!</v>
      </c>
      <c r="AA11" t="e">
        <f>AND(CIENCIAS!D14,"AAAAAD/H6xo=")</f>
        <v>#VALUE!</v>
      </c>
      <c r="AB11" t="e">
        <f>AND(CIENCIAS!E14,"AAAAAD/H6xs=")</f>
        <v>#VALUE!</v>
      </c>
      <c r="AC11" t="e">
        <f>AND(CIENCIAS!F14,"AAAAAD/H6xw=")</f>
        <v>#VALUE!</v>
      </c>
      <c r="AD11" t="e">
        <f>AND(CIENCIAS!G14,"AAAAAD/H6x0=")</f>
        <v>#VALUE!</v>
      </c>
      <c r="AE11" t="e">
        <f>AND(CIENCIAS!H14,"AAAAAD/H6x4=")</f>
        <v>#VALUE!</v>
      </c>
      <c r="AF11" t="e">
        <f>AND(CIENCIAS!I14,"AAAAAD/H6x8=")</f>
        <v>#VALUE!</v>
      </c>
      <c r="AG11" t="e">
        <f>AND(CIENCIAS!J14,"AAAAAD/H6yA=")</f>
        <v>#VALUE!</v>
      </c>
      <c r="AH11" t="e">
        <f>AND(CIENCIAS!K14,"AAAAAD/H6yE=")</f>
        <v>#VALUE!</v>
      </c>
      <c r="AI11" t="e">
        <f>AND(CIENCIAS!L14,"AAAAAD/H6yI=")</f>
        <v>#VALUE!</v>
      </c>
      <c r="AJ11">
        <f>IF(CIENCIAS!15:15,"AAAAAD/H6yM=",0)</f>
        <v>0</v>
      </c>
      <c r="AK11" t="e">
        <f>AND(CIENCIAS!A15,"AAAAAD/H6yQ=")</f>
        <v>#VALUE!</v>
      </c>
      <c r="AL11" t="e">
        <f>AND(CIENCIAS!B15,"AAAAAD/H6yU=")</f>
        <v>#VALUE!</v>
      </c>
      <c r="AM11" t="e">
        <f>AND(CIENCIAS!C15,"AAAAAD/H6yY=")</f>
        <v>#VALUE!</v>
      </c>
      <c r="AN11" t="e">
        <f>AND(CIENCIAS!D15,"AAAAAD/H6yc=")</f>
        <v>#VALUE!</v>
      </c>
      <c r="AO11" t="e">
        <f>AND(CIENCIAS!E15,"AAAAAD/H6yg=")</f>
        <v>#VALUE!</v>
      </c>
      <c r="AP11" t="e">
        <f>AND(CIENCIAS!F15,"AAAAAD/H6yk=")</f>
        <v>#VALUE!</v>
      </c>
      <c r="AQ11" t="e">
        <f>AND(CIENCIAS!G15,"AAAAAD/H6yo=")</f>
        <v>#VALUE!</v>
      </c>
      <c r="AR11" t="e">
        <f>AND(CIENCIAS!H15,"AAAAAD/H6ys=")</f>
        <v>#VALUE!</v>
      </c>
      <c r="AS11" t="e">
        <f>AND(CIENCIAS!I15,"AAAAAD/H6yw=")</f>
        <v>#VALUE!</v>
      </c>
      <c r="AT11" t="e">
        <f>AND(CIENCIAS!J15,"AAAAAD/H6y0=")</f>
        <v>#VALUE!</v>
      </c>
      <c r="AU11" t="e">
        <f>AND(CIENCIAS!K15,"AAAAAD/H6y4=")</f>
        <v>#VALUE!</v>
      </c>
      <c r="AV11" t="e">
        <f>AND(CIENCIAS!L15,"AAAAAD/H6y8=")</f>
        <v>#VALUE!</v>
      </c>
      <c r="AW11">
        <f>IF(CIENCIAS!16:16,"AAAAAD/H6zA=",0)</f>
        <v>0</v>
      </c>
      <c r="AX11" t="e">
        <f>AND(CIENCIAS!A16,"AAAAAD/H6zE=")</f>
        <v>#VALUE!</v>
      </c>
      <c r="AY11" t="e">
        <f>AND(CIENCIAS!B16,"AAAAAD/H6zI=")</f>
        <v>#VALUE!</v>
      </c>
      <c r="AZ11" t="e">
        <f>AND(CIENCIAS!C16,"AAAAAD/H6zM=")</f>
        <v>#VALUE!</v>
      </c>
      <c r="BA11" t="e">
        <f>AND(CIENCIAS!D16,"AAAAAD/H6zQ=")</f>
        <v>#VALUE!</v>
      </c>
      <c r="BB11" t="e">
        <f>AND(CIENCIAS!E16,"AAAAAD/H6zU=")</f>
        <v>#VALUE!</v>
      </c>
      <c r="BC11" t="e">
        <f>AND(CIENCIAS!F16,"AAAAAD/H6zY=")</f>
        <v>#VALUE!</v>
      </c>
      <c r="BD11" t="e">
        <f>AND(CIENCIAS!G16,"AAAAAD/H6zc=")</f>
        <v>#VALUE!</v>
      </c>
      <c r="BE11" t="e">
        <f>AND(CIENCIAS!H16,"AAAAAD/H6zg=")</f>
        <v>#VALUE!</v>
      </c>
      <c r="BF11" t="e">
        <f>AND(CIENCIAS!I16,"AAAAAD/H6zk=")</f>
        <v>#VALUE!</v>
      </c>
      <c r="BG11" t="e">
        <f>AND(CIENCIAS!J16,"AAAAAD/H6zo=")</f>
        <v>#VALUE!</v>
      </c>
      <c r="BH11" t="e">
        <f>AND(CIENCIAS!K16,"AAAAAD/H6zs=")</f>
        <v>#VALUE!</v>
      </c>
      <c r="BI11" t="e">
        <f>AND(CIENCIAS!L16,"AAAAAD/H6zw=")</f>
        <v>#VALUE!</v>
      </c>
      <c r="BJ11">
        <f>IF(CIENCIAS!17:17,"AAAAAD/H6z0=",0)</f>
        <v>0</v>
      </c>
      <c r="BK11" t="e">
        <f>AND(CIENCIAS!A17,"AAAAAD/H6z4=")</f>
        <v>#VALUE!</v>
      </c>
      <c r="BL11" t="e">
        <f>AND(CIENCIAS!B17,"AAAAAD/H6z8=")</f>
        <v>#VALUE!</v>
      </c>
      <c r="BM11" t="e">
        <f>AND(CIENCIAS!C17,"AAAAAD/H60A=")</f>
        <v>#VALUE!</v>
      </c>
      <c r="BN11" t="e">
        <f>AND(CIENCIAS!D17,"AAAAAD/H60E=")</f>
        <v>#VALUE!</v>
      </c>
      <c r="BO11" t="e">
        <f>AND(CIENCIAS!E17,"AAAAAD/H60I=")</f>
        <v>#VALUE!</v>
      </c>
      <c r="BP11" t="e">
        <f>AND(CIENCIAS!F17,"AAAAAD/H60M=")</f>
        <v>#VALUE!</v>
      </c>
      <c r="BQ11" t="e">
        <f>AND(CIENCIAS!G17,"AAAAAD/H60Q=")</f>
        <v>#VALUE!</v>
      </c>
      <c r="BR11" t="e">
        <f>AND(CIENCIAS!H17,"AAAAAD/H60U=")</f>
        <v>#VALUE!</v>
      </c>
      <c r="BS11" t="e">
        <f>AND(CIENCIAS!I17,"AAAAAD/H60Y=")</f>
        <v>#VALUE!</v>
      </c>
      <c r="BT11" t="e">
        <f>AND(CIENCIAS!J17,"AAAAAD/H60c=")</f>
        <v>#VALUE!</v>
      </c>
      <c r="BU11" t="e">
        <f>AND(CIENCIAS!K17,"AAAAAD/H60g=")</f>
        <v>#VALUE!</v>
      </c>
      <c r="BV11" t="e">
        <f>AND(CIENCIAS!L17,"AAAAAD/H60k=")</f>
        <v>#VALUE!</v>
      </c>
      <c r="BW11">
        <f>IF(CIENCIAS!18:18,"AAAAAD/H60o=",0)</f>
        <v>0</v>
      </c>
      <c r="BX11" t="e">
        <f>AND(CIENCIAS!A18,"AAAAAD/H60s=")</f>
        <v>#VALUE!</v>
      </c>
      <c r="BY11" t="e">
        <f>AND(CIENCIAS!B18,"AAAAAD/H60w=")</f>
        <v>#VALUE!</v>
      </c>
      <c r="BZ11" t="e">
        <f>AND(CIENCIAS!C18,"AAAAAD/H600=")</f>
        <v>#VALUE!</v>
      </c>
      <c r="CA11" t="e">
        <f>AND(CIENCIAS!D18,"AAAAAD/H604=")</f>
        <v>#VALUE!</v>
      </c>
      <c r="CB11" t="e">
        <f>AND(CIENCIAS!E18,"AAAAAD/H608=")</f>
        <v>#VALUE!</v>
      </c>
      <c r="CC11" t="e">
        <f>AND(CIENCIAS!F18,"AAAAAD/H61A=")</f>
        <v>#VALUE!</v>
      </c>
      <c r="CD11" t="e">
        <f>AND(CIENCIAS!G18,"AAAAAD/H61E=")</f>
        <v>#VALUE!</v>
      </c>
      <c r="CE11" t="e">
        <f>AND(CIENCIAS!H18,"AAAAAD/H61I=")</f>
        <v>#VALUE!</v>
      </c>
      <c r="CF11" t="e">
        <f>AND(CIENCIAS!I18,"AAAAAD/H61M=")</f>
        <v>#VALUE!</v>
      </c>
      <c r="CG11" t="e">
        <f>AND(CIENCIAS!J18,"AAAAAD/H61Q=")</f>
        <v>#VALUE!</v>
      </c>
      <c r="CH11" t="e">
        <f>AND(CIENCIAS!K18,"AAAAAD/H61U=")</f>
        <v>#VALUE!</v>
      </c>
      <c r="CI11" t="e">
        <f>AND(CIENCIAS!L18,"AAAAAD/H61Y=")</f>
        <v>#VALUE!</v>
      </c>
      <c r="CJ11">
        <f>IF(CIENCIAS!19:19,"AAAAAD/H61c=",0)</f>
        <v>0</v>
      </c>
      <c r="CK11" t="e">
        <f>AND(CIENCIAS!A19,"AAAAAD/H61g=")</f>
        <v>#VALUE!</v>
      </c>
      <c r="CL11" t="e">
        <f>AND(CIENCIAS!B19,"AAAAAD/H61k=")</f>
        <v>#VALUE!</v>
      </c>
      <c r="CM11" t="e">
        <f>AND(CIENCIAS!C19,"AAAAAD/H61o=")</f>
        <v>#VALUE!</v>
      </c>
      <c r="CN11" t="e">
        <f>AND(CIENCIAS!D19,"AAAAAD/H61s=")</f>
        <v>#VALUE!</v>
      </c>
      <c r="CO11" t="e">
        <f>AND(CIENCIAS!E19,"AAAAAD/H61w=")</f>
        <v>#VALUE!</v>
      </c>
      <c r="CP11" t="e">
        <f>AND(CIENCIAS!F19,"AAAAAD/H610=")</f>
        <v>#VALUE!</v>
      </c>
      <c r="CQ11" t="e">
        <f>AND(CIENCIAS!G19,"AAAAAD/H614=")</f>
        <v>#VALUE!</v>
      </c>
      <c r="CR11" t="e">
        <f>AND(CIENCIAS!H19,"AAAAAD/H618=")</f>
        <v>#VALUE!</v>
      </c>
      <c r="CS11" t="e">
        <f>AND(CIENCIAS!I19,"AAAAAD/H62A=")</f>
        <v>#VALUE!</v>
      </c>
      <c r="CT11" t="e">
        <f>AND(CIENCIAS!J19,"AAAAAD/H62E=")</f>
        <v>#VALUE!</v>
      </c>
      <c r="CU11" t="e">
        <f>AND(CIENCIAS!K19,"AAAAAD/H62I=")</f>
        <v>#VALUE!</v>
      </c>
      <c r="CV11" t="e">
        <f>AND(CIENCIAS!L19,"AAAAAD/H62M=")</f>
        <v>#VALUE!</v>
      </c>
      <c r="CW11">
        <f>IF(CIENCIAS!20:20,"AAAAAD/H62Q=",0)</f>
        <v>0</v>
      </c>
      <c r="CX11" t="e">
        <f>AND(CIENCIAS!A20,"AAAAAD/H62U=")</f>
        <v>#VALUE!</v>
      </c>
      <c r="CY11" t="e">
        <f>AND(CIENCIAS!B20,"AAAAAD/H62Y=")</f>
        <v>#VALUE!</v>
      </c>
      <c r="CZ11" t="e">
        <f>AND(CIENCIAS!C20,"AAAAAD/H62c=")</f>
        <v>#VALUE!</v>
      </c>
      <c r="DA11" t="e">
        <f>AND(CIENCIAS!D20,"AAAAAD/H62g=")</f>
        <v>#VALUE!</v>
      </c>
      <c r="DB11" t="e">
        <f>AND(CIENCIAS!E20,"AAAAAD/H62k=")</f>
        <v>#VALUE!</v>
      </c>
      <c r="DC11" t="e">
        <f>AND(CIENCIAS!F20,"AAAAAD/H62o=")</f>
        <v>#VALUE!</v>
      </c>
      <c r="DD11" t="e">
        <f>AND(CIENCIAS!G20,"AAAAAD/H62s=")</f>
        <v>#VALUE!</v>
      </c>
      <c r="DE11" t="e">
        <f>AND(CIENCIAS!H20,"AAAAAD/H62w=")</f>
        <v>#VALUE!</v>
      </c>
      <c r="DF11" t="e">
        <f>AND(CIENCIAS!I20,"AAAAAD/H620=")</f>
        <v>#VALUE!</v>
      </c>
      <c r="DG11" t="e">
        <f>AND(CIENCIAS!J20,"AAAAAD/H624=")</f>
        <v>#VALUE!</v>
      </c>
      <c r="DH11" t="e">
        <f>AND(CIENCIAS!K20,"AAAAAD/H628=")</f>
        <v>#VALUE!</v>
      </c>
      <c r="DI11" t="e">
        <f>AND(CIENCIAS!L20,"AAAAAD/H63A=")</f>
        <v>#VALUE!</v>
      </c>
      <c r="DJ11">
        <f>IF(CIENCIAS!21:21,"AAAAAD/H63E=",0)</f>
        <v>0</v>
      </c>
      <c r="DK11" t="e">
        <f>AND(CIENCIAS!A21,"AAAAAD/H63I=")</f>
        <v>#VALUE!</v>
      </c>
      <c r="DL11" t="e">
        <f>AND(CIENCIAS!B21,"AAAAAD/H63M=")</f>
        <v>#VALUE!</v>
      </c>
      <c r="DM11" t="e">
        <f>AND(CIENCIAS!C21,"AAAAAD/H63Q=")</f>
        <v>#VALUE!</v>
      </c>
      <c r="DN11" t="e">
        <f>AND(CIENCIAS!D21,"AAAAAD/H63U=")</f>
        <v>#VALUE!</v>
      </c>
      <c r="DO11" t="e">
        <f>AND(CIENCIAS!E21,"AAAAAD/H63Y=")</f>
        <v>#VALUE!</v>
      </c>
      <c r="DP11" t="e">
        <f>AND(CIENCIAS!F21,"AAAAAD/H63c=")</f>
        <v>#VALUE!</v>
      </c>
      <c r="DQ11" t="e">
        <f>AND(CIENCIAS!G21,"AAAAAD/H63g=")</f>
        <v>#VALUE!</v>
      </c>
      <c r="DR11" t="e">
        <f>AND(CIENCIAS!H21,"AAAAAD/H63k=")</f>
        <v>#VALUE!</v>
      </c>
      <c r="DS11" t="e">
        <f>AND(CIENCIAS!I21,"AAAAAD/H63o=")</f>
        <v>#VALUE!</v>
      </c>
      <c r="DT11" t="e">
        <f>AND(CIENCIAS!J21,"AAAAAD/H63s=")</f>
        <v>#VALUE!</v>
      </c>
      <c r="DU11" t="e">
        <f>AND(CIENCIAS!K21,"AAAAAD/H63w=")</f>
        <v>#VALUE!</v>
      </c>
      <c r="DV11" t="e">
        <f>AND(CIENCIAS!L21,"AAAAAD/H630=")</f>
        <v>#VALUE!</v>
      </c>
      <c r="DW11">
        <f>IF(CIENCIAS!22:22,"AAAAAD/H634=",0)</f>
        <v>0</v>
      </c>
      <c r="DX11" t="e">
        <f>AND(CIENCIAS!A22,"AAAAAD/H638=")</f>
        <v>#VALUE!</v>
      </c>
      <c r="DY11" t="e">
        <f>AND(CIENCIAS!B22,"AAAAAD/H64A=")</f>
        <v>#VALUE!</v>
      </c>
      <c r="DZ11" t="e">
        <f>AND(CIENCIAS!C22,"AAAAAD/H64E=")</f>
        <v>#VALUE!</v>
      </c>
      <c r="EA11" t="e">
        <f>AND(CIENCIAS!D22,"AAAAAD/H64I=")</f>
        <v>#VALUE!</v>
      </c>
      <c r="EB11" t="e">
        <f>AND(CIENCIAS!E22,"AAAAAD/H64M=")</f>
        <v>#VALUE!</v>
      </c>
      <c r="EC11" t="e">
        <f>AND(CIENCIAS!F22,"AAAAAD/H64Q=")</f>
        <v>#VALUE!</v>
      </c>
      <c r="ED11" t="e">
        <f>AND(CIENCIAS!G22,"AAAAAD/H64U=")</f>
        <v>#VALUE!</v>
      </c>
      <c r="EE11" t="e">
        <f>AND(CIENCIAS!H22,"AAAAAD/H64Y=")</f>
        <v>#VALUE!</v>
      </c>
      <c r="EF11" t="e">
        <f>AND(CIENCIAS!I22,"AAAAAD/H64c=")</f>
        <v>#VALUE!</v>
      </c>
      <c r="EG11" t="e">
        <f>AND(CIENCIAS!J22,"AAAAAD/H64g=")</f>
        <v>#VALUE!</v>
      </c>
      <c r="EH11" t="e">
        <f>AND(CIENCIAS!K22,"AAAAAD/H64k=")</f>
        <v>#VALUE!</v>
      </c>
      <c r="EI11" t="e">
        <f>AND(CIENCIAS!L22,"AAAAAD/H64o=")</f>
        <v>#VALUE!</v>
      </c>
      <c r="EJ11">
        <f>IF(CIENCIAS!23:23,"AAAAAD/H64s=",0)</f>
        <v>0</v>
      </c>
      <c r="EK11" t="e">
        <f>AND(CIENCIAS!A23,"AAAAAD/H64w=")</f>
        <v>#VALUE!</v>
      </c>
      <c r="EL11" t="e">
        <f>AND(CIENCIAS!B23,"AAAAAD/H640=")</f>
        <v>#VALUE!</v>
      </c>
      <c r="EM11" t="e">
        <f>AND(CIENCIAS!C23,"AAAAAD/H644=")</f>
        <v>#VALUE!</v>
      </c>
      <c r="EN11" t="e">
        <f>AND(CIENCIAS!D23,"AAAAAD/H648=")</f>
        <v>#VALUE!</v>
      </c>
      <c r="EO11" t="e">
        <f>AND(CIENCIAS!E23,"AAAAAD/H65A=")</f>
        <v>#VALUE!</v>
      </c>
      <c r="EP11" t="e">
        <f>AND(CIENCIAS!F23,"AAAAAD/H65E=")</f>
        <v>#VALUE!</v>
      </c>
      <c r="EQ11" t="e">
        <f>AND(CIENCIAS!G23,"AAAAAD/H65I=")</f>
        <v>#VALUE!</v>
      </c>
      <c r="ER11" t="e">
        <f>AND(CIENCIAS!H23,"AAAAAD/H65M=")</f>
        <v>#VALUE!</v>
      </c>
      <c r="ES11" t="e">
        <f>AND(CIENCIAS!I23,"AAAAAD/H65Q=")</f>
        <v>#VALUE!</v>
      </c>
      <c r="ET11" t="e">
        <f>AND(CIENCIAS!J23,"AAAAAD/H65U=")</f>
        <v>#VALUE!</v>
      </c>
      <c r="EU11" t="e">
        <f>AND(CIENCIAS!K23,"AAAAAD/H65Y=")</f>
        <v>#VALUE!</v>
      </c>
      <c r="EV11" t="e">
        <f>AND(CIENCIAS!L23,"AAAAAD/H65c=")</f>
        <v>#VALUE!</v>
      </c>
      <c r="EW11">
        <f>IF(CIENCIAS!24:24,"AAAAAD/H65g=",0)</f>
        <v>0</v>
      </c>
      <c r="EX11" t="e">
        <f>AND(CIENCIAS!A24,"AAAAAD/H65k=")</f>
        <v>#VALUE!</v>
      </c>
      <c r="EY11" t="e">
        <f>AND(CIENCIAS!B24,"AAAAAD/H65o=")</f>
        <v>#VALUE!</v>
      </c>
      <c r="EZ11" t="e">
        <f>AND(CIENCIAS!C24,"AAAAAD/H65s=")</f>
        <v>#VALUE!</v>
      </c>
      <c r="FA11" t="e">
        <f>AND(CIENCIAS!D24,"AAAAAD/H65w=")</f>
        <v>#VALUE!</v>
      </c>
      <c r="FB11" t="e">
        <f>AND(CIENCIAS!E24,"AAAAAD/H650=")</f>
        <v>#VALUE!</v>
      </c>
      <c r="FC11" t="e">
        <f>AND(CIENCIAS!F24,"AAAAAD/H654=")</f>
        <v>#VALUE!</v>
      </c>
      <c r="FD11" t="e">
        <f>AND(CIENCIAS!G24,"AAAAAD/H658=")</f>
        <v>#VALUE!</v>
      </c>
      <c r="FE11" t="e">
        <f>AND(CIENCIAS!H24,"AAAAAD/H66A=")</f>
        <v>#VALUE!</v>
      </c>
      <c r="FF11" t="e">
        <f>AND(CIENCIAS!I24,"AAAAAD/H66E=")</f>
        <v>#VALUE!</v>
      </c>
      <c r="FG11" t="e">
        <f>AND(CIENCIAS!J24,"AAAAAD/H66I=")</f>
        <v>#VALUE!</v>
      </c>
      <c r="FH11" t="e">
        <f>AND(CIENCIAS!K24,"AAAAAD/H66M=")</f>
        <v>#VALUE!</v>
      </c>
      <c r="FI11" t="e">
        <f>AND(CIENCIAS!L24,"AAAAAD/H66Q=")</f>
        <v>#VALUE!</v>
      </c>
      <c r="FJ11">
        <f>IF(CIENCIAS!25:25,"AAAAAD/H66U=",0)</f>
        <v>0</v>
      </c>
      <c r="FK11" t="e">
        <f>AND(CIENCIAS!A25,"AAAAAD/H66Y=")</f>
        <v>#VALUE!</v>
      </c>
      <c r="FL11" t="e">
        <f>AND(CIENCIAS!B25,"AAAAAD/H66c=")</f>
        <v>#VALUE!</v>
      </c>
      <c r="FM11" t="e">
        <f>AND(CIENCIAS!C25,"AAAAAD/H66g=")</f>
        <v>#VALUE!</v>
      </c>
      <c r="FN11" t="e">
        <f>AND(CIENCIAS!D25,"AAAAAD/H66k=")</f>
        <v>#VALUE!</v>
      </c>
      <c r="FO11" t="e">
        <f>AND(CIENCIAS!E25,"AAAAAD/H66o=")</f>
        <v>#VALUE!</v>
      </c>
      <c r="FP11" t="e">
        <f>AND(CIENCIAS!F25,"AAAAAD/H66s=")</f>
        <v>#VALUE!</v>
      </c>
      <c r="FQ11" t="e">
        <f>AND(CIENCIAS!G25,"AAAAAD/H66w=")</f>
        <v>#VALUE!</v>
      </c>
      <c r="FR11" t="e">
        <f>AND(CIENCIAS!H25,"AAAAAD/H660=")</f>
        <v>#VALUE!</v>
      </c>
      <c r="FS11" t="e">
        <f>AND(CIENCIAS!I25,"AAAAAD/H664=")</f>
        <v>#VALUE!</v>
      </c>
      <c r="FT11" t="e">
        <f>AND(CIENCIAS!J25,"AAAAAD/H668=")</f>
        <v>#VALUE!</v>
      </c>
      <c r="FU11" t="e">
        <f>AND(CIENCIAS!K25,"AAAAAD/H67A=")</f>
        <v>#VALUE!</v>
      </c>
      <c r="FV11" t="e">
        <f>AND(CIENCIAS!L25,"AAAAAD/H67E=")</f>
        <v>#VALUE!</v>
      </c>
      <c r="FW11">
        <f>IF(CIENCIAS!26:26,"AAAAAD/H67I=",0)</f>
        <v>0</v>
      </c>
      <c r="FX11" t="e">
        <f>AND(CIENCIAS!A26,"AAAAAD/H67M=")</f>
        <v>#VALUE!</v>
      </c>
      <c r="FY11" t="e">
        <f>AND(CIENCIAS!B26,"AAAAAD/H67Q=")</f>
        <v>#VALUE!</v>
      </c>
      <c r="FZ11" t="e">
        <f>AND(CIENCIAS!C26,"AAAAAD/H67U=")</f>
        <v>#VALUE!</v>
      </c>
      <c r="GA11" t="e">
        <f>AND(CIENCIAS!D26,"AAAAAD/H67Y=")</f>
        <v>#VALUE!</v>
      </c>
      <c r="GB11" t="e">
        <f>AND(CIENCIAS!E26,"AAAAAD/H67c=")</f>
        <v>#VALUE!</v>
      </c>
      <c r="GC11" t="e">
        <f>AND(CIENCIAS!F26,"AAAAAD/H67g=")</f>
        <v>#VALUE!</v>
      </c>
      <c r="GD11" t="e">
        <f>AND(CIENCIAS!G26,"AAAAAD/H67k=")</f>
        <v>#VALUE!</v>
      </c>
      <c r="GE11" t="e">
        <f>AND(CIENCIAS!H26,"AAAAAD/H67o=")</f>
        <v>#VALUE!</v>
      </c>
      <c r="GF11" t="e">
        <f>AND(CIENCIAS!I26,"AAAAAD/H67s=")</f>
        <v>#VALUE!</v>
      </c>
      <c r="GG11" t="e">
        <f>AND(CIENCIAS!J26,"AAAAAD/H67w=")</f>
        <v>#VALUE!</v>
      </c>
      <c r="GH11" t="e">
        <f>AND(CIENCIAS!K26,"AAAAAD/H670=")</f>
        <v>#VALUE!</v>
      </c>
      <c r="GI11" t="e">
        <f>AND(CIENCIAS!L26,"AAAAAD/H674=")</f>
        <v>#VALUE!</v>
      </c>
      <c r="GJ11">
        <f>IF(CIENCIAS!27:27,"AAAAAD/H678=",0)</f>
        <v>0</v>
      </c>
      <c r="GK11" t="e">
        <f>AND(CIENCIAS!A27,"AAAAAD/H68A=")</f>
        <v>#VALUE!</v>
      </c>
      <c r="GL11" t="e">
        <f>AND(CIENCIAS!B27,"AAAAAD/H68E=")</f>
        <v>#VALUE!</v>
      </c>
      <c r="GM11" t="e">
        <f>AND(CIENCIAS!#REF!,"AAAAAD/H68I=")</f>
        <v>#REF!</v>
      </c>
      <c r="GN11" t="e">
        <f>AND(CIENCIAS!D27,"AAAAAD/H68M=")</f>
        <v>#VALUE!</v>
      </c>
      <c r="GO11" t="e">
        <f>AND(CIENCIAS!E27,"AAAAAD/H68Q=")</f>
        <v>#VALUE!</v>
      </c>
      <c r="GP11" t="e">
        <f>AND(CIENCIAS!F27,"AAAAAD/H68U=")</f>
        <v>#VALUE!</v>
      </c>
      <c r="GQ11" t="e">
        <f>AND(CIENCIAS!C27,"AAAAAD/H68Y=")</f>
        <v>#VALUE!</v>
      </c>
      <c r="GR11" t="e">
        <f>AND(CIENCIAS!H27,"AAAAAD/H68c=")</f>
        <v>#VALUE!</v>
      </c>
      <c r="GS11" t="e">
        <f>AND(CIENCIAS!I27,"AAAAAD/H68g=")</f>
        <v>#VALUE!</v>
      </c>
      <c r="GT11" t="e">
        <f>AND(CIENCIAS!J27,"AAAAAD/H68k=")</f>
        <v>#VALUE!</v>
      </c>
      <c r="GU11" t="e">
        <f>AND(CIENCIAS!K27,"AAAAAD/H68o=")</f>
        <v>#VALUE!</v>
      </c>
      <c r="GV11" t="e">
        <f>AND(CIENCIAS!L27,"AAAAAD/H68s=")</f>
        <v>#VALUE!</v>
      </c>
      <c r="GW11">
        <f>IF(CIENCIAS!28:28,"AAAAAD/H68w=",0)</f>
        <v>0</v>
      </c>
      <c r="GX11" t="e">
        <f>AND(CIENCIAS!A28,"AAAAAD/H680=")</f>
        <v>#VALUE!</v>
      </c>
      <c r="GY11" t="e">
        <f>AND(CIENCIAS!B28,"AAAAAD/H684=")</f>
        <v>#VALUE!</v>
      </c>
      <c r="GZ11" t="e">
        <f>AND(CIENCIAS!C28,"AAAAAD/H688=")</f>
        <v>#VALUE!</v>
      </c>
      <c r="HA11" t="e">
        <f>AND(CIENCIAS!D28,"AAAAAD/H69A=")</f>
        <v>#VALUE!</v>
      </c>
      <c r="HB11" t="e">
        <f>AND(CIENCIAS!E28,"AAAAAD/H69E=")</f>
        <v>#VALUE!</v>
      </c>
      <c r="HC11" t="e">
        <f>AND(CIENCIAS!F28,"AAAAAD/H69I=")</f>
        <v>#VALUE!</v>
      </c>
      <c r="HD11" t="e">
        <f>AND(CIENCIAS!G28,"AAAAAD/H69M=")</f>
        <v>#VALUE!</v>
      </c>
      <c r="HE11" t="e">
        <f>AND(CIENCIAS!H28,"AAAAAD/H69Q=")</f>
        <v>#VALUE!</v>
      </c>
      <c r="HF11" t="e">
        <f>AND(CIENCIAS!I28,"AAAAAD/H69U=")</f>
        <v>#VALUE!</v>
      </c>
      <c r="HG11" t="e">
        <f>AND(CIENCIAS!J28,"AAAAAD/H69Y=")</f>
        <v>#VALUE!</v>
      </c>
      <c r="HH11" t="e">
        <f>AND(CIENCIAS!K28,"AAAAAD/H69c=")</f>
        <v>#VALUE!</v>
      </c>
      <c r="HI11" t="e">
        <f>AND(CIENCIAS!L28,"AAAAAD/H69g=")</f>
        <v>#VALUE!</v>
      </c>
      <c r="HJ11">
        <f>IF(CIENCIAS!29:29,"AAAAAD/H69k=",0)</f>
        <v>0</v>
      </c>
      <c r="HK11" t="e">
        <f>AND(CIENCIAS!A29,"AAAAAD/H69o=")</f>
        <v>#VALUE!</v>
      </c>
      <c r="HL11" t="e">
        <f>AND(CIENCIAS!B29,"AAAAAD/H69s=")</f>
        <v>#VALUE!</v>
      </c>
      <c r="HM11" t="e">
        <f>AND(CIENCIAS!C29,"AAAAAD/H69w=")</f>
        <v>#VALUE!</v>
      </c>
      <c r="HN11" t="e">
        <f>AND(CIENCIAS!D29,"AAAAAD/H690=")</f>
        <v>#VALUE!</v>
      </c>
      <c r="HO11" t="e">
        <f>AND(CIENCIAS!E29,"AAAAAD/H694=")</f>
        <v>#VALUE!</v>
      </c>
      <c r="HP11" t="e">
        <f>AND(CIENCIAS!F29,"AAAAAD/H698=")</f>
        <v>#VALUE!</v>
      </c>
      <c r="HQ11" t="e">
        <f>AND(CIENCIAS!G29,"AAAAAD/H6+A=")</f>
        <v>#VALUE!</v>
      </c>
      <c r="HR11" t="e">
        <f>AND(CIENCIAS!H29,"AAAAAD/H6+E=")</f>
        <v>#VALUE!</v>
      </c>
      <c r="HS11" t="e">
        <f>AND(CIENCIAS!I29,"AAAAAD/H6+I=")</f>
        <v>#VALUE!</v>
      </c>
      <c r="HT11" t="e">
        <f>AND(CIENCIAS!J29,"AAAAAD/H6+M=")</f>
        <v>#VALUE!</v>
      </c>
      <c r="HU11" t="e">
        <f>AND(CIENCIAS!K29,"AAAAAD/H6+Q=")</f>
        <v>#VALUE!</v>
      </c>
      <c r="HV11" t="e">
        <f>AND(CIENCIAS!L29,"AAAAAD/H6+U=")</f>
        <v>#VALUE!</v>
      </c>
      <c r="HW11">
        <f>IF(CIENCIAS!30:30,"AAAAAD/H6+Y=",0)</f>
        <v>0</v>
      </c>
      <c r="HX11" t="e">
        <f>AND(CIENCIAS!A30,"AAAAAD/H6+c=")</f>
        <v>#VALUE!</v>
      </c>
      <c r="HY11" t="e">
        <f>AND(CIENCIAS!B30,"AAAAAD/H6+g=")</f>
        <v>#VALUE!</v>
      </c>
      <c r="HZ11" t="e">
        <f>AND(CIENCIAS!C30,"AAAAAD/H6+k=")</f>
        <v>#VALUE!</v>
      </c>
      <c r="IA11" t="e">
        <f>AND(CIENCIAS!D30,"AAAAAD/H6+o=")</f>
        <v>#VALUE!</v>
      </c>
      <c r="IB11" t="e">
        <f>AND(CIENCIAS!E30,"AAAAAD/H6+s=")</f>
        <v>#VALUE!</v>
      </c>
      <c r="IC11" t="e">
        <f>AND(CIENCIAS!F30,"AAAAAD/H6+w=")</f>
        <v>#VALUE!</v>
      </c>
      <c r="ID11" t="e">
        <f>AND(CIENCIAS!G30,"AAAAAD/H6+0=")</f>
        <v>#VALUE!</v>
      </c>
      <c r="IE11" t="e">
        <f>AND(CIENCIAS!H30,"AAAAAD/H6+4=")</f>
        <v>#VALUE!</v>
      </c>
      <c r="IF11" t="e">
        <f>AND(CIENCIAS!I30,"AAAAAD/H6+8=")</f>
        <v>#VALUE!</v>
      </c>
      <c r="IG11" t="e">
        <f>AND(CIENCIAS!J30,"AAAAAD/H6/A=")</f>
        <v>#VALUE!</v>
      </c>
      <c r="IH11" t="e">
        <f>AND(CIENCIAS!K30,"AAAAAD/H6/E=")</f>
        <v>#VALUE!</v>
      </c>
      <c r="II11" t="e">
        <f>AND(CIENCIAS!L30,"AAAAAD/H6/I=")</f>
        <v>#VALUE!</v>
      </c>
      <c r="IJ11">
        <f>IF(CIENCIAS!31:31,"AAAAAD/H6/M=",0)</f>
        <v>0</v>
      </c>
      <c r="IK11" t="e">
        <f>AND(CIENCIAS!A31,"AAAAAD/H6/Q=")</f>
        <v>#VALUE!</v>
      </c>
      <c r="IL11" t="e">
        <f>AND(CIENCIAS!B31,"AAAAAD/H6/U=")</f>
        <v>#VALUE!</v>
      </c>
      <c r="IM11" t="e">
        <f>AND(CIENCIAS!C31,"AAAAAD/H6/Y=")</f>
        <v>#VALUE!</v>
      </c>
      <c r="IN11" t="e">
        <f>AND(CIENCIAS!D31,"AAAAAD/H6/c=")</f>
        <v>#VALUE!</v>
      </c>
      <c r="IO11" t="e">
        <f>AND(CIENCIAS!E31,"AAAAAD/H6/g=")</f>
        <v>#VALUE!</v>
      </c>
      <c r="IP11" t="e">
        <f>AND(CIENCIAS!F31,"AAAAAD/H6/k=")</f>
        <v>#VALUE!</v>
      </c>
      <c r="IQ11" t="e">
        <f>AND(CIENCIAS!G31,"AAAAAD/H6/o=")</f>
        <v>#VALUE!</v>
      </c>
      <c r="IR11" t="e">
        <f>AND(CIENCIAS!H31,"AAAAAD/H6/s=")</f>
        <v>#VALUE!</v>
      </c>
      <c r="IS11" t="e">
        <f>AND(CIENCIAS!I31,"AAAAAD/H6/w=")</f>
        <v>#VALUE!</v>
      </c>
      <c r="IT11" t="e">
        <f>AND(CIENCIAS!J31,"AAAAAD/H6/0=")</f>
        <v>#VALUE!</v>
      </c>
      <c r="IU11" t="e">
        <f>AND(CIENCIAS!K31,"AAAAAD/H6/4=")</f>
        <v>#VALUE!</v>
      </c>
      <c r="IV11" t="e">
        <f>AND(CIENCIAS!L31,"AAAAAD/H6/8=")</f>
        <v>#VALUE!</v>
      </c>
    </row>
    <row r="12" spans="1:256">
      <c r="A12">
        <f>IF(CIENCIAS!32:32,"AAAAAH2t+wA=",0)</f>
        <v>0</v>
      </c>
      <c r="B12" t="e">
        <f>AND(CIENCIAS!A32,"AAAAAH2t+wE=")</f>
        <v>#VALUE!</v>
      </c>
      <c r="C12" t="e">
        <f>AND(CIENCIAS!B32,"AAAAAH2t+wI=")</f>
        <v>#VALUE!</v>
      </c>
      <c r="D12" t="e">
        <f>AND(CIENCIAS!C32,"AAAAAH2t+wM=")</f>
        <v>#VALUE!</v>
      </c>
      <c r="E12" t="e">
        <f>AND(CIENCIAS!D32,"AAAAAH2t+wQ=")</f>
        <v>#VALUE!</v>
      </c>
      <c r="F12" t="e">
        <f>AND(CIENCIAS!E32,"AAAAAH2t+wU=")</f>
        <v>#VALUE!</v>
      </c>
      <c r="G12" t="e">
        <f>AND(CIENCIAS!F32,"AAAAAH2t+wY=")</f>
        <v>#VALUE!</v>
      </c>
      <c r="H12" t="e">
        <f>AND(CIENCIAS!G32,"AAAAAH2t+wc=")</f>
        <v>#VALUE!</v>
      </c>
      <c r="I12" t="e">
        <f>AND(CIENCIAS!H32,"AAAAAH2t+wg=")</f>
        <v>#VALUE!</v>
      </c>
      <c r="J12" t="e">
        <f>AND(CIENCIAS!I32,"AAAAAH2t+wk=")</f>
        <v>#VALUE!</v>
      </c>
      <c r="K12" t="e">
        <f>AND(CIENCIAS!J32,"AAAAAH2t+wo=")</f>
        <v>#VALUE!</v>
      </c>
      <c r="L12" t="e">
        <f>AND(CIENCIAS!K32,"AAAAAH2t+ws=")</f>
        <v>#VALUE!</v>
      </c>
      <c r="M12" t="e">
        <f>AND(CIENCIAS!L32,"AAAAAH2t+ww=")</f>
        <v>#VALUE!</v>
      </c>
      <c r="N12">
        <f>IF(CIENCIAS!33:33,"AAAAAH2t+w0=",0)</f>
        <v>0</v>
      </c>
      <c r="O12" t="e">
        <f>AND(CIENCIAS!A33,"AAAAAH2t+w4=")</f>
        <v>#VALUE!</v>
      </c>
      <c r="P12" t="e">
        <f>AND(CIENCIAS!B33,"AAAAAH2t+w8=")</f>
        <v>#VALUE!</v>
      </c>
      <c r="Q12" t="e">
        <f>AND(CIENCIAS!C33,"AAAAAH2t+xA=")</f>
        <v>#VALUE!</v>
      </c>
      <c r="R12" t="e">
        <f>AND(CIENCIAS!D33,"AAAAAH2t+xE=")</f>
        <v>#VALUE!</v>
      </c>
      <c r="S12" t="e">
        <f>AND(CIENCIAS!E33,"AAAAAH2t+xI=")</f>
        <v>#VALUE!</v>
      </c>
      <c r="T12" t="e">
        <f>AND(CIENCIAS!F33,"AAAAAH2t+xM=")</f>
        <v>#VALUE!</v>
      </c>
      <c r="U12" t="e">
        <f>AND(CIENCIAS!G33,"AAAAAH2t+xQ=")</f>
        <v>#VALUE!</v>
      </c>
      <c r="V12" t="e">
        <f>AND(CIENCIAS!H33,"AAAAAH2t+xU=")</f>
        <v>#VALUE!</v>
      </c>
      <c r="W12" t="e">
        <f>AND(CIENCIAS!I33,"AAAAAH2t+xY=")</f>
        <v>#VALUE!</v>
      </c>
      <c r="X12" t="e">
        <f>AND(CIENCIAS!J33,"AAAAAH2t+xc=")</f>
        <v>#VALUE!</v>
      </c>
      <c r="Y12" t="e">
        <f>AND(CIENCIAS!K33,"AAAAAH2t+xg=")</f>
        <v>#VALUE!</v>
      </c>
      <c r="Z12" t="e">
        <f>AND(CIENCIAS!L33,"AAAAAH2t+xk=")</f>
        <v>#VALUE!</v>
      </c>
      <c r="AA12">
        <f>IF(CIENCIAS!34:34,"AAAAAH2t+xo=",0)</f>
        <v>0</v>
      </c>
      <c r="AB12" t="e">
        <f>AND(CIENCIAS!A34,"AAAAAH2t+xs=")</f>
        <v>#VALUE!</v>
      </c>
      <c r="AC12" t="e">
        <f>AND(CIENCIAS!B34,"AAAAAH2t+xw=")</f>
        <v>#VALUE!</v>
      </c>
      <c r="AD12" t="e">
        <f>AND(CIENCIAS!C34,"AAAAAH2t+x0=")</f>
        <v>#VALUE!</v>
      </c>
      <c r="AE12" t="e">
        <f>AND(CIENCIAS!D34,"AAAAAH2t+x4=")</f>
        <v>#VALUE!</v>
      </c>
      <c r="AF12" t="e">
        <f>AND(CIENCIAS!E34,"AAAAAH2t+x8=")</f>
        <v>#VALUE!</v>
      </c>
      <c r="AG12" t="e">
        <f>AND(CIENCIAS!F34,"AAAAAH2t+yA=")</f>
        <v>#VALUE!</v>
      </c>
      <c r="AH12" t="e">
        <f>AND(CIENCIAS!G34,"AAAAAH2t+yE=")</f>
        <v>#VALUE!</v>
      </c>
      <c r="AI12" t="e">
        <f>AND(CIENCIAS!H34,"AAAAAH2t+yI=")</f>
        <v>#VALUE!</v>
      </c>
      <c r="AJ12" t="e">
        <f>AND(CIENCIAS!I34,"AAAAAH2t+yM=")</f>
        <v>#VALUE!</v>
      </c>
      <c r="AK12" t="e">
        <f>AND(CIENCIAS!J34,"AAAAAH2t+yQ=")</f>
        <v>#VALUE!</v>
      </c>
      <c r="AL12" t="e">
        <f>AND(CIENCIAS!K34,"AAAAAH2t+yU=")</f>
        <v>#VALUE!</v>
      </c>
      <c r="AM12" t="e">
        <f>AND(CIENCIAS!L34,"AAAAAH2t+yY=")</f>
        <v>#VALUE!</v>
      </c>
      <c r="AN12">
        <f>IF(CIENCIAS!35:35,"AAAAAH2t+yc=",0)</f>
        <v>0</v>
      </c>
      <c r="AO12" t="e">
        <f>AND(CIENCIAS!A35,"AAAAAH2t+yg=")</f>
        <v>#VALUE!</v>
      </c>
      <c r="AP12" t="e">
        <f>AND(CIENCIAS!B35,"AAAAAH2t+yk=")</f>
        <v>#VALUE!</v>
      </c>
      <c r="AQ12" t="e">
        <f>AND(CIENCIAS!C35,"AAAAAH2t+yo=")</f>
        <v>#VALUE!</v>
      </c>
      <c r="AR12" t="e">
        <f>AND(CIENCIAS!D35,"AAAAAH2t+ys=")</f>
        <v>#VALUE!</v>
      </c>
      <c r="AS12" t="e">
        <f>AND(CIENCIAS!E35,"AAAAAH2t+yw=")</f>
        <v>#VALUE!</v>
      </c>
      <c r="AT12" t="e">
        <f>AND(CIENCIAS!F35,"AAAAAH2t+y0=")</f>
        <v>#VALUE!</v>
      </c>
      <c r="AU12" t="e">
        <f>AND(CIENCIAS!G35,"AAAAAH2t+y4=")</f>
        <v>#VALUE!</v>
      </c>
      <c r="AV12" t="e">
        <f>AND(CIENCIAS!H35,"AAAAAH2t+y8=")</f>
        <v>#VALUE!</v>
      </c>
      <c r="AW12" t="e">
        <f>AND(CIENCIAS!I35,"AAAAAH2t+zA=")</f>
        <v>#VALUE!</v>
      </c>
      <c r="AX12" t="e">
        <f>AND(CIENCIAS!J35,"AAAAAH2t+zE=")</f>
        <v>#VALUE!</v>
      </c>
      <c r="AY12" t="e">
        <f>AND(CIENCIAS!K35,"AAAAAH2t+zI=")</f>
        <v>#VALUE!</v>
      </c>
      <c r="AZ12" t="e">
        <f>AND(CIENCIAS!L35,"AAAAAH2t+zM=")</f>
        <v>#VALUE!</v>
      </c>
      <c r="BA12" t="e">
        <f>IF(CIENCIAS!A:A,"AAAAAH2t+zQ=",0)</f>
        <v>#VALUE!</v>
      </c>
      <c r="BB12">
        <f>IF(CIENCIAS!B:B,"AAAAAH2t+zU=",0)</f>
        <v>0</v>
      </c>
      <c r="BC12">
        <f>IF(CIENCIAS!C:C,"AAAAAH2t+zY=",0)</f>
        <v>0</v>
      </c>
      <c r="BD12">
        <f>IF(CIENCIAS!D:D,"AAAAAH2t+zc=",0)</f>
        <v>0</v>
      </c>
      <c r="BE12">
        <f>IF(CIENCIAS!E:E,"AAAAAH2t+zg=",0)</f>
        <v>0</v>
      </c>
      <c r="BF12">
        <f>IF(CIENCIAS!F:F,"AAAAAH2t+zk=",0)</f>
        <v>0</v>
      </c>
      <c r="BG12">
        <f>IF(CIENCIAS!G:G,"AAAAAH2t+zo=",0)</f>
        <v>0</v>
      </c>
      <c r="BH12">
        <f>IF(CIENCIAS!H:H,"AAAAAH2t+zs=",0)</f>
        <v>0</v>
      </c>
      <c r="BI12">
        <f>IF(CIENCIAS!I:I,"AAAAAH2t+zw=",0)</f>
        <v>0</v>
      </c>
      <c r="BJ12">
        <f>IF(CIENCIAS!J:J,"AAAAAH2t+z0=",0)</f>
        <v>0</v>
      </c>
      <c r="BK12">
        <f>IF(CIENCIAS!K:K,"AAAAAH2t+z4=",0)</f>
        <v>0</v>
      </c>
      <c r="BL12">
        <f>IF(CIENCIAS!L:L,"AAAAAH2t+z8=",0)</f>
        <v>0</v>
      </c>
      <c r="BM12" t="s">
        <v>20</v>
      </c>
    </row>
    <row r="13" spans="1:256">
      <c r="A13" t="e">
        <f>AND(MAT.!K27,"AAAAAHe3+QA=")</f>
        <v>#VALUE!</v>
      </c>
      <c r="B13" t="e">
        <f>AND(MAT.!L27,"AAAAAHe3+QE=")</f>
        <v>#VALUE!</v>
      </c>
      <c r="C13" t="e">
        <f>AND(HIST.!G28,"AAAAAHe3+QI=")</f>
        <v>#VALUE!</v>
      </c>
      <c r="D13" t="e">
        <f>AND(GEO.!G27,"AAAAAHe3+QM=")</f>
        <v>#VALUE!</v>
      </c>
      <c r="E13" t="e">
        <f>AND(CIENCIAS!M1,"AAAAAHe3+QQ=")</f>
        <v>#VALUE!</v>
      </c>
      <c r="F13" t="e">
        <f>AND(CIENCIAS!N1,"AAAAAHe3+QU=")</f>
        <v>#VALUE!</v>
      </c>
      <c r="G13" t="e">
        <f>AND(CIENCIAS!M2,"AAAAAHe3+QY=")</f>
        <v>#VALUE!</v>
      </c>
      <c r="H13" t="e">
        <f>AND(CIENCIAS!N2,"AAAAAHe3+Qc=")</f>
        <v>#VALUE!</v>
      </c>
      <c r="I13" t="e">
        <f>AND(CIENCIAS!M3,"AAAAAHe3+Qg=")</f>
        <v>#VALUE!</v>
      </c>
      <c r="J13" t="e">
        <f>AND(CIENCIAS!N3,"AAAAAHe3+Qk=")</f>
        <v>#VALUE!</v>
      </c>
      <c r="K13" t="e">
        <f>AND(CIENCIAS!M4,"AAAAAHe3+Qo=")</f>
        <v>#VALUE!</v>
      </c>
      <c r="L13" t="e">
        <f>AND(CIENCIAS!N4,"AAAAAHe3+Qs=")</f>
        <v>#VALUE!</v>
      </c>
      <c r="M13" t="e">
        <f>AND(CIENCIAS!M5,"AAAAAHe3+Qw=")</f>
        <v>#VALUE!</v>
      </c>
      <c r="N13" t="e">
        <f>AND(CIENCIAS!N5,"AAAAAHe3+Q0=")</f>
        <v>#VALUE!</v>
      </c>
      <c r="O13" t="e">
        <f>AND(CIENCIAS!M6,"AAAAAHe3+Q4=")</f>
        <v>#VALUE!</v>
      </c>
      <c r="P13" t="e">
        <f>AND(CIENCIAS!N6,"AAAAAHe3+Q8=")</f>
        <v>#VALUE!</v>
      </c>
      <c r="Q13" t="e">
        <f>AND(CIENCIAS!M7,"AAAAAHe3+RA=")</f>
        <v>#VALUE!</v>
      </c>
      <c r="R13" t="e">
        <f>AND(CIENCIAS!N7,"AAAAAHe3+RE=")</f>
        <v>#VALUE!</v>
      </c>
      <c r="S13" t="e">
        <f>AND(CIENCIAS!M8,"AAAAAHe3+RI=")</f>
        <v>#VALUE!</v>
      </c>
      <c r="T13" t="e">
        <f>AND(CIENCIAS!N8,"AAAAAHe3+RM=")</f>
        <v>#VALUE!</v>
      </c>
      <c r="U13" t="e">
        <f>AND(CIENCIAS!M9,"AAAAAHe3+RQ=")</f>
        <v>#VALUE!</v>
      </c>
      <c r="V13" t="e">
        <f>AND(CIENCIAS!N9,"AAAAAHe3+RU=")</f>
        <v>#VALUE!</v>
      </c>
      <c r="W13" t="e">
        <f>AND(CIENCIAS!M10,"AAAAAHe3+RY=")</f>
        <v>#VALUE!</v>
      </c>
      <c r="X13" t="e">
        <f>AND(CIENCIAS!N10,"AAAAAHe3+Rc=")</f>
        <v>#VALUE!</v>
      </c>
      <c r="Y13" t="e">
        <f>AND(CIENCIAS!M11,"AAAAAHe3+Rg=")</f>
        <v>#VALUE!</v>
      </c>
      <c r="Z13" t="e">
        <f>AND(CIENCIAS!N11,"AAAAAHe3+Rk=")</f>
        <v>#VALUE!</v>
      </c>
      <c r="AA13" t="e">
        <f>AND(CIENCIAS!M12,"AAAAAHe3+Ro=")</f>
        <v>#VALUE!</v>
      </c>
      <c r="AB13" t="e">
        <f>AND(CIENCIAS!N12,"AAAAAHe3+Rs=")</f>
        <v>#VALUE!</v>
      </c>
      <c r="AC13" t="e">
        <f>AND(CIENCIAS!M13,"AAAAAHe3+Rw=")</f>
        <v>#VALUE!</v>
      </c>
      <c r="AD13" t="e">
        <f>AND(CIENCIAS!N13,"AAAAAHe3+R0=")</f>
        <v>#VALUE!</v>
      </c>
      <c r="AE13" t="e">
        <f>AND(CIENCIAS!M14,"AAAAAHe3+R4=")</f>
        <v>#VALUE!</v>
      </c>
      <c r="AF13" t="e">
        <f>AND(CIENCIAS!N14,"AAAAAHe3+R8=")</f>
        <v>#VALUE!</v>
      </c>
      <c r="AG13" t="e">
        <f>AND(CIENCIAS!M15,"AAAAAHe3+SA=")</f>
        <v>#VALUE!</v>
      </c>
      <c r="AH13" t="e">
        <f>AND(CIENCIAS!N15,"AAAAAHe3+SE=")</f>
        <v>#VALUE!</v>
      </c>
      <c r="AI13" t="e">
        <f>AND(CIENCIAS!M16,"AAAAAHe3+SI=")</f>
        <v>#VALUE!</v>
      </c>
      <c r="AJ13" t="e">
        <f>AND(CIENCIAS!N16,"AAAAAHe3+SM=")</f>
        <v>#VALUE!</v>
      </c>
      <c r="AK13" t="e">
        <f>AND(CIENCIAS!M17,"AAAAAHe3+SQ=")</f>
        <v>#VALUE!</v>
      </c>
      <c r="AL13" t="e">
        <f>AND(CIENCIAS!N17,"AAAAAHe3+SU=")</f>
        <v>#VALUE!</v>
      </c>
      <c r="AM13" t="e">
        <f>AND(CIENCIAS!M18,"AAAAAHe3+SY=")</f>
        <v>#VALUE!</v>
      </c>
      <c r="AN13" t="e">
        <f>AND(CIENCIAS!N18,"AAAAAHe3+Sc=")</f>
        <v>#VALUE!</v>
      </c>
      <c r="AO13" t="e">
        <f>AND(CIENCIAS!M19,"AAAAAHe3+Sg=")</f>
        <v>#VALUE!</v>
      </c>
      <c r="AP13" t="e">
        <f>AND(CIENCIAS!N19,"AAAAAHe3+Sk=")</f>
        <v>#VALUE!</v>
      </c>
      <c r="AQ13" t="e">
        <f>AND(CIENCIAS!M20,"AAAAAHe3+So=")</f>
        <v>#VALUE!</v>
      </c>
      <c r="AR13" t="e">
        <f>AND(CIENCIAS!N20,"AAAAAHe3+Ss=")</f>
        <v>#VALUE!</v>
      </c>
      <c r="AS13" t="e">
        <f>AND(CIENCIAS!M21,"AAAAAHe3+Sw=")</f>
        <v>#VALUE!</v>
      </c>
      <c r="AT13" t="e">
        <f>AND(CIENCIAS!N21,"AAAAAHe3+S0=")</f>
        <v>#VALUE!</v>
      </c>
      <c r="AU13" t="e">
        <f>AND(CIENCIAS!M22,"AAAAAHe3+S4=")</f>
        <v>#VALUE!</v>
      </c>
      <c r="AV13" t="e">
        <f>AND(CIENCIAS!N22,"AAAAAHe3+S8=")</f>
        <v>#VALUE!</v>
      </c>
      <c r="AW13" t="e">
        <f>AND(CIENCIAS!M23,"AAAAAHe3+TA=")</f>
        <v>#VALUE!</v>
      </c>
      <c r="AX13" t="e">
        <f>AND(CIENCIAS!N23,"AAAAAHe3+TE=")</f>
        <v>#VALUE!</v>
      </c>
      <c r="AY13" t="e">
        <f>AND(CIENCIAS!M24,"AAAAAHe3+TI=")</f>
        <v>#VALUE!</v>
      </c>
      <c r="AZ13" t="e">
        <f>AND(CIENCIAS!N24,"AAAAAHe3+TM=")</f>
        <v>#VALUE!</v>
      </c>
      <c r="BA13" t="e">
        <f>AND(CIENCIAS!M25,"AAAAAHe3+TQ=")</f>
        <v>#VALUE!</v>
      </c>
      <c r="BB13" t="e">
        <f>AND(CIENCIAS!N25,"AAAAAHe3+TU=")</f>
        <v>#VALUE!</v>
      </c>
      <c r="BC13" t="e">
        <f>AND(CIENCIAS!M26,"AAAAAHe3+TY=")</f>
        <v>#VALUE!</v>
      </c>
      <c r="BD13" t="e">
        <f>AND(CIENCIAS!N26,"AAAAAHe3+Tc=")</f>
        <v>#VALUE!</v>
      </c>
      <c r="BE13" t="e">
        <f>AND(CIENCIAS!G27,"AAAAAHe3+Tg=")</f>
        <v>#VALUE!</v>
      </c>
      <c r="BF13" t="e">
        <f>AND(CIENCIAS!M27,"AAAAAHe3+Tk=")</f>
        <v>#VALUE!</v>
      </c>
      <c r="BG13" t="e">
        <f>AND(CIENCIAS!N27,"AAAAAHe3+To=")</f>
        <v>#VALUE!</v>
      </c>
      <c r="BH13" t="e">
        <f>AND(CIENCIAS!M28,"AAAAAHe3+Ts=")</f>
        <v>#VALUE!</v>
      </c>
      <c r="BI13" t="e">
        <f>AND(CIENCIAS!N28,"AAAAAHe3+Tw=")</f>
        <v>#VALUE!</v>
      </c>
      <c r="BJ13" t="e">
        <f>AND(CIENCIAS!M29,"AAAAAHe3+T0=")</f>
        <v>#VALUE!</v>
      </c>
      <c r="BK13" t="e">
        <f>AND(CIENCIAS!N29,"AAAAAHe3+T4=")</f>
        <v>#VALUE!</v>
      </c>
      <c r="BL13" t="e">
        <f>AND(CIENCIAS!M30,"AAAAAHe3+T8=")</f>
        <v>#VALUE!</v>
      </c>
      <c r="BM13" t="e">
        <f>AND(CIENCIAS!N30,"AAAAAHe3+UA=")</f>
        <v>#VALUE!</v>
      </c>
      <c r="BN13" t="e">
        <f>AND(CIENCIAS!M31,"AAAAAHe3+UE=")</f>
        <v>#VALUE!</v>
      </c>
      <c r="BO13" t="e">
        <f>AND(CIENCIAS!N31,"AAAAAHe3+UI=")</f>
        <v>#VALUE!</v>
      </c>
      <c r="BP13" t="e">
        <f>AND(CIENCIAS!M32,"AAAAAHe3+UM=")</f>
        <v>#VALUE!</v>
      </c>
      <c r="BQ13" t="e">
        <f>AND(CIENCIAS!N32,"AAAAAHe3+UQ=")</f>
        <v>#VALUE!</v>
      </c>
      <c r="BR13" t="e">
        <f>AND(CIENCIAS!M33,"AAAAAHe3+UU=")</f>
        <v>#VALUE!</v>
      </c>
      <c r="BS13" t="e">
        <f>AND(CIENCIAS!N33,"AAAAAHe3+UY=")</f>
        <v>#VALUE!</v>
      </c>
      <c r="BT13" t="e">
        <f>AND(CIENCIAS!M34,"AAAAAHe3+Uc=")</f>
        <v>#VALUE!</v>
      </c>
      <c r="BU13" t="e">
        <f>AND(CIENCIAS!N34,"AAAAAHe3+Ug=")</f>
        <v>#VALUE!</v>
      </c>
      <c r="BV13" t="e">
        <f>AND(CIENCIAS!M35,"AAAAAHe3+Uk=")</f>
        <v>#VALUE!</v>
      </c>
      <c r="BW13" t="e">
        <f>AND(CIENCIAS!N35,"AAAAAHe3+Uo=")</f>
        <v>#VALUE!</v>
      </c>
      <c r="BX13">
        <f>IF(CIENCIAS!M:M,"AAAAAHe3+Us=",0)</f>
        <v>0</v>
      </c>
      <c r="BY13">
        <f>IF(CIENCIAS!N:N,"AAAAAHe3+Uw=",0)</f>
        <v>0</v>
      </c>
      <c r="BZ13">
        <f>IF(EDUFISICA!1:1,"AAAAAHe3+U0=",0)</f>
        <v>0</v>
      </c>
      <c r="CA13" t="e">
        <f>AND(EDUFISICA!A1,"AAAAAHe3+U4=")</f>
        <v>#VALUE!</v>
      </c>
      <c r="CB13" t="e">
        <f>AND(EDUFISICA!B1,"AAAAAHe3+U8=")</f>
        <v>#VALUE!</v>
      </c>
      <c r="CC13" t="e">
        <f>AND(EDUFISICA!C1,"AAAAAHe3+VA=")</f>
        <v>#VALUE!</v>
      </c>
      <c r="CD13" t="e">
        <f>AND(EDUFISICA!D1,"AAAAAHe3+VE=")</f>
        <v>#VALUE!</v>
      </c>
      <c r="CE13" t="e">
        <f>AND(EDUFISICA!E1,"AAAAAHe3+VI=")</f>
        <v>#VALUE!</v>
      </c>
      <c r="CF13" t="e">
        <f>AND(EDUFISICA!F1,"AAAAAHe3+VM=")</f>
        <v>#VALUE!</v>
      </c>
      <c r="CG13" t="e">
        <f>AND(EDUFISICA!G1,"AAAAAHe3+VQ=")</f>
        <v>#VALUE!</v>
      </c>
      <c r="CH13" t="e">
        <f>AND(EDUFISICA!H1,"AAAAAHe3+VU=")</f>
        <v>#VALUE!</v>
      </c>
      <c r="CI13" t="e">
        <f>AND(EDUFISICA!I1,"AAAAAHe3+VY=")</f>
        <v>#VALUE!</v>
      </c>
      <c r="CJ13" t="e">
        <f>AND(EDUFISICA!J1,"AAAAAHe3+Vc=")</f>
        <v>#VALUE!</v>
      </c>
      <c r="CK13" t="e">
        <f>AND(EDUFISICA!K1,"AAAAAHe3+Vg=")</f>
        <v>#VALUE!</v>
      </c>
      <c r="CL13" t="e">
        <f>AND(EDUFISICA!L1,"AAAAAHe3+Vk=")</f>
        <v>#VALUE!</v>
      </c>
      <c r="CM13">
        <f>IF(EDUFISICA!2:2,"AAAAAHe3+Vo=",0)</f>
        <v>0</v>
      </c>
      <c r="CN13" t="e">
        <f>AND(EDUFISICA!A2,"AAAAAHe3+Vs=")</f>
        <v>#VALUE!</v>
      </c>
      <c r="CO13" t="e">
        <f>AND(EDUFISICA!B2,"AAAAAHe3+Vw=")</f>
        <v>#VALUE!</v>
      </c>
      <c r="CP13" t="e">
        <f>AND(EDUFISICA!C2,"AAAAAHe3+V0=")</f>
        <v>#VALUE!</v>
      </c>
      <c r="CQ13" t="e">
        <f>AND(EDUFISICA!D2,"AAAAAHe3+V4=")</f>
        <v>#VALUE!</v>
      </c>
      <c r="CR13" t="e">
        <f>AND(EDUFISICA!E2,"AAAAAHe3+V8=")</f>
        <v>#VALUE!</v>
      </c>
      <c r="CS13" t="e">
        <f>AND(EDUFISICA!F2,"AAAAAHe3+WA=")</f>
        <v>#VALUE!</v>
      </c>
      <c r="CT13" t="e">
        <f>AND(EDUFISICA!G2,"AAAAAHe3+WE=")</f>
        <v>#VALUE!</v>
      </c>
      <c r="CU13" t="e">
        <f>AND(EDUFISICA!H2,"AAAAAHe3+WI=")</f>
        <v>#VALUE!</v>
      </c>
      <c r="CV13" t="e">
        <f>AND(EDUFISICA!I2,"AAAAAHe3+WM=")</f>
        <v>#VALUE!</v>
      </c>
      <c r="CW13" t="e">
        <f>AND(EDUFISICA!J2,"AAAAAHe3+WQ=")</f>
        <v>#VALUE!</v>
      </c>
      <c r="CX13" t="e">
        <f>AND(EDUFISICA!K2,"AAAAAHe3+WU=")</f>
        <v>#VALUE!</v>
      </c>
      <c r="CY13" t="e">
        <f>AND(EDUFISICA!L2,"AAAAAHe3+WY=")</f>
        <v>#VALUE!</v>
      </c>
      <c r="CZ13">
        <f>IF(EDUFISICA!3:3,"AAAAAHe3+Wc=",0)</f>
        <v>0</v>
      </c>
      <c r="DA13" t="e">
        <f>AND(EDUFISICA!A3,"AAAAAHe3+Wg=")</f>
        <v>#VALUE!</v>
      </c>
      <c r="DB13" t="e">
        <f>AND(EDUFISICA!B3,"AAAAAHe3+Wk=")</f>
        <v>#VALUE!</v>
      </c>
      <c r="DC13" t="e">
        <f>AND(EDUFISICA!C3,"AAAAAHe3+Wo=")</f>
        <v>#VALUE!</v>
      </c>
      <c r="DD13" t="e">
        <f>AND(EDUFISICA!D3,"AAAAAHe3+Ws=")</f>
        <v>#VALUE!</v>
      </c>
      <c r="DE13" t="e">
        <f>AND(EDUFISICA!E3,"AAAAAHe3+Ww=")</f>
        <v>#VALUE!</v>
      </c>
      <c r="DF13" t="e">
        <f>AND(EDUFISICA!F3,"AAAAAHe3+W0=")</f>
        <v>#VALUE!</v>
      </c>
      <c r="DG13" t="e">
        <f>AND(EDUFISICA!G3,"AAAAAHe3+W4=")</f>
        <v>#VALUE!</v>
      </c>
      <c r="DH13" t="e">
        <f>AND(EDUFISICA!H3,"AAAAAHe3+W8=")</f>
        <v>#VALUE!</v>
      </c>
      <c r="DI13" t="e">
        <f>AND(EDUFISICA!I3,"AAAAAHe3+XA=")</f>
        <v>#VALUE!</v>
      </c>
      <c r="DJ13" t="e">
        <f>AND(EDUFISICA!J3,"AAAAAHe3+XE=")</f>
        <v>#VALUE!</v>
      </c>
      <c r="DK13" t="e">
        <f>AND(EDUFISICA!K3,"AAAAAHe3+XI=")</f>
        <v>#VALUE!</v>
      </c>
      <c r="DL13" t="e">
        <f>AND(EDUFISICA!L3,"AAAAAHe3+XM=")</f>
        <v>#VALUE!</v>
      </c>
      <c r="DM13">
        <f>IF(EDUFISICA!4:4,"AAAAAHe3+XQ=",0)</f>
        <v>0</v>
      </c>
      <c r="DN13" t="e">
        <f>AND(EDUFISICA!A4,"AAAAAHe3+XU=")</f>
        <v>#VALUE!</v>
      </c>
      <c r="DO13" t="e">
        <f>AND(EDUFISICA!B4,"AAAAAHe3+XY=")</f>
        <v>#VALUE!</v>
      </c>
      <c r="DP13" t="e">
        <f>AND(EDUFISICA!C4,"AAAAAHe3+Xc=")</f>
        <v>#VALUE!</v>
      </c>
      <c r="DQ13" t="e">
        <f>AND(EDUFISICA!D4,"AAAAAHe3+Xg=")</f>
        <v>#VALUE!</v>
      </c>
      <c r="DR13" t="e">
        <f>AND(EDUFISICA!E4,"AAAAAHe3+Xk=")</f>
        <v>#VALUE!</v>
      </c>
      <c r="DS13" t="e">
        <f>AND(EDUFISICA!F4,"AAAAAHe3+Xo=")</f>
        <v>#VALUE!</v>
      </c>
      <c r="DT13" t="e">
        <f>AND(EDUFISICA!G4,"AAAAAHe3+Xs=")</f>
        <v>#VALUE!</v>
      </c>
      <c r="DU13" t="e">
        <f>AND(EDUFISICA!H4,"AAAAAHe3+Xw=")</f>
        <v>#VALUE!</v>
      </c>
      <c r="DV13" t="e">
        <f>AND(EDUFISICA!I4,"AAAAAHe3+X0=")</f>
        <v>#VALUE!</v>
      </c>
      <c r="DW13" t="e">
        <f>AND(EDUFISICA!J4,"AAAAAHe3+X4=")</f>
        <v>#VALUE!</v>
      </c>
      <c r="DX13" t="e">
        <f>AND(EDUFISICA!K4,"AAAAAHe3+X8=")</f>
        <v>#VALUE!</v>
      </c>
      <c r="DY13" t="e">
        <f>AND(EDUFISICA!L4,"AAAAAHe3+YA=")</f>
        <v>#VALUE!</v>
      </c>
      <c r="DZ13">
        <f>IF(EDUFISICA!5:5,"AAAAAHe3+YE=",0)</f>
        <v>0</v>
      </c>
      <c r="EA13" t="e">
        <f>AND(EDUFISICA!A5,"AAAAAHe3+YI=")</f>
        <v>#VALUE!</v>
      </c>
      <c r="EB13" t="e">
        <f>AND(EDUFISICA!B5,"AAAAAHe3+YM=")</f>
        <v>#VALUE!</v>
      </c>
      <c r="EC13" t="e">
        <f>AND(EDUFISICA!C5,"AAAAAHe3+YQ=")</f>
        <v>#VALUE!</v>
      </c>
      <c r="ED13" t="e">
        <f>AND(EDUFISICA!D5,"AAAAAHe3+YU=")</f>
        <v>#VALUE!</v>
      </c>
      <c r="EE13" t="e">
        <f>AND(EDUFISICA!E5,"AAAAAHe3+YY=")</f>
        <v>#VALUE!</v>
      </c>
      <c r="EF13" t="e">
        <f>AND(EDUFISICA!F5,"AAAAAHe3+Yc=")</f>
        <v>#VALUE!</v>
      </c>
      <c r="EG13" t="e">
        <f>AND(EDUFISICA!G5,"AAAAAHe3+Yg=")</f>
        <v>#VALUE!</v>
      </c>
      <c r="EH13" t="e">
        <f>AND(EDUFISICA!H5,"AAAAAHe3+Yk=")</f>
        <v>#VALUE!</v>
      </c>
      <c r="EI13" t="e">
        <f>AND(EDUFISICA!I5,"AAAAAHe3+Yo=")</f>
        <v>#VALUE!</v>
      </c>
      <c r="EJ13" t="e">
        <f>AND(EDUFISICA!J5,"AAAAAHe3+Ys=")</f>
        <v>#VALUE!</v>
      </c>
      <c r="EK13" t="e">
        <f>AND(EDUFISICA!K5,"AAAAAHe3+Yw=")</f>
        <v>#VALUE!</v>
      </c>
      <c r="EL13" t="e">
        <f>AND(EDUFISICA!L5,"AAAAAHe3+Y0=")</f>
        <v>#VALUE!</v>
      </c>
      <c r="EM13">
        <f>IF(EDUFISICA!6:6,"AAAAAHe3+Y4=",0)</f>
        <v>0</v>
      </c>
      <c r="EN13" t="e">
        <f>AND(EDUFISICA!A6,"AAAAAHe3+Y8=")</f>
        <v>#VALUE!</v>
      </c>
      <c r="EO13" t="e">
        <f>AND(EDUFISICA!B6,"AAAAAHe3+ZA=")</f>
        <v>#VALUE!</v>
      </c>
      <c r="EP13" t="e">
        <f>AND(EDUFISICA!C6,"AAAAAHe3+ZE=")</f>
        <v>#VALUE!</v>
      </c>
      <c r="EQ13" t="e">
        <f>AND(EDUFISICA!D6,"AAAAAHe3+ZI=")</f>
        <v>#VALUE!</v>
      </c>
      <c r="ER13" t="e">
        <f>AND(EDUFISICA!E6,"AAAAAHe3+ZM=")</f>
        <v>#VALUE!</v>
      </c>
      <c r="ES13" t="e">
        <f>AND(EDUFISICA!F6,"AAAAAHe3+ZQ=")</f>
        <v>#VALUE!</v>
      </c>
      <c r="ET13" t="e">
        <f>AND(EDUFISICA!G6,"AAAAAHe3+ZU=")</f>
        <v>#VALUE!</v>
      </c>
      <c r="EU13" t="e">
        <f>AND(EDUFISICA!H6,"AAAAAHe3+ZY=")</f>
        <v>#VALUE!</v>
      </c>
      <c r="EV13" t="e">
        <f>AND(EDUFISICA!I6,"AAAAAHe3+Zc=")</f>
        <v>#VALUE!</v>
      </c>
      <c r="EW13" t="e">
        <f>AND(EDUFISICA!J6,"AAAAAHe3+Zg=")</f>
        <v>#VALUE!</v>
      </c>
      <c r="EX13" t="e">
        <f>AND(EDUFISICA!K6,"AAAAAHe3+Zk=")</f>
        <v>#VALUE!</v>
      </c>
      <c r="EY13" t="e">
        <f>AND(EDUFISICA!L6,"AAAAAHe3+Zo=")</f>
        <v>#VALUE!</v>
      </c>
      <c r="EZ13">
        <f>IF(EDUFISICA!7:7,"AAAAAHe3+Zs=",0)</f>
        <v>0</v>
      </c>
      <c r="FA13" t="e">
        <f>AND(EDUFISICA!A7,"AAAAAHe3+Zw=")</f>
        <v>#VALUE!</v>
      </c>
      <c r="FB13" t="e">
        <f>AND(EDUFISICA!B7,"AAAAAHe3+Z0=")</f>
        <v>#VALUE!</v>
      </c>
      <c r="FC13" t="e">
        <f>AND(EDUFISICA!C7,"AAAAAHe3+Z4=")</f>
        <v>#VALUE!</v>
      </c>
      <c r="FD13" t="e">
        <f>AND(EDUFISICA!D7,"AAAAAHe3+Z8=")</f>
        <v>#VALUE!</v>
      </c>
      <c r="FE13" t="e">
        <f>AND(EDUFISICA!E7,"AAAAAHe3+aA=")</f>
        <v>#VALUE!</v>
      </c>
      <c r="FF13" t="e">
        <f>AND(EDUFISICA!F7,"AAAAAHe3+aE=")</f>
        <v>#VALUE!</v>
      </c>
      <c r="FG13" t="e">
        <f>AND(EDUFISICA!G7,"AAAAAHe3+aI=")</f>
        <v>#VALUE!</v>
      </c>
      <c r="FH13" t="e">
        <f>AND(EDUFISICA!H7,"AAAAAHe3+aM=")</f>
        <v>#VALUE!</v>
      </c>
      <c r="FI13" t="e">
        <f>AND(EDUFISICA!I7,"AAAAAHe3+aQ=")</f>
        <v>#VALUE!</v>
      </c>
      <c r="FJ13" t="e">
        <f>AND(EDUFISICA!J7,"AAAAAHe3+aU=")</f>
        <v>#VALUE!</v>
      </c>
      <c r="FK13" t="e">
        <f>AND(EDUFISICA!K7,"AAAAAHe3+aY=")</f>
        <v>#VALUE!</v>
      </c>
      <c r="FL13" t="e">
        <f>AND(EDUFISICA!L7,"AAAAAHe3+ac=")</f>
        <v>#VALUE!</v>
      </c>
      <c r="FM13">
        <f>IF(EDUFISICA!8:8,"AAAAAHe3+ag=",0)</f>
        <v>0</v>
      </c>
      <c r="FN13" t="e">
        <f>AND(EDUFISICA!A8,"AAAAAHe3+ak=")</f>
        <v>#VALUE!</v>
      </c>
      <c r="FO13" t="e">
        <f>AND(EDUFISICA!B8,"AAAAAHe3+ao=")</f>
        <v>#VALUE!</v>
      </c>
      <c r="FP13" t="e">
        <f>AND(EDUFISICA!C8,"AAAAAHe3+as=")</f>
        <v>#VALUE!</v>
      </c>
      <c r="FQ13" t="e">
        <f>AND(EDUFISICA!D8,"AAAAAHe3+aw=")</f>
        <v>#VALUE!</v>
      </c>
      <c r="FR13" t="e">
        <f>AND(EDUFISICA!E8,"AAAAAHe3+a0=")</f>
        <v>#VALUE!</v>
      </c>
      <c r="FS13" t="e">
        <f>AND(EDUFISICA!F8,"AAAAAHe3+a4=")</f>
        <v>#VALUE!</v>
      </c>
      <c r="FT13" t="e">
        <f>AND(EDUFISICA!G8,"AAAAAHe3+a8=")</f>
        <v>#VALUE!</v>
      </c>
      <c r="FU13" t="e">
        <f>AND(EDUFISICA!H8,"AAAAAHe3+bA=")</f>
        <v>#VALUE!</v>
      </c>
      <c r="FV13" t="e">
        <f>AND(EDUFISICA!I8,"AAAAAHe3+bE=")</f>
        <v>#VALUE!</v>
      </c>
      <c r="FW13" t="e">
        <f>AND(EDUFISICA!J8,"AAAAAHe3+bI=")</f>
        <v>#VALUE!</v>
      </c>
      <c r="FX13" t="e">
        <f>AND(EDUFISICA!K8,"AAAAAHe3+bM=")</f>
        <v>#VALUE!</v>
      </c>
      <c r="FY13" t="e">
        <f>AND(EDUFISICA!L8,"AAAAAHe3+bQ=")</f>
        <v>#VALUE!</v>
      </c>
      <c r="FZ13">
        <f>IF(EDUFISICA!9:9,"AAAAAHe3+bU=",0)</f>
        <v>0</v>
      </c>
      <c r="GA13" t="e">
        <f>AND(EDUFISICA!A9,"AAAAAHe3+bY=")</f>
        <v>#VALUE!</v>
      </c>
      <c r="GB13" t="e">
        <f>AND(EDUFISICA!B9,"AAAAAHe3+bc=")</f>
        <v>#VALUE!</v>
      </c>
      <c r="GC13" t="e">
        <f>AND(EDUFISICA!C9,"AAAAAHe3+bg=")</f>
        <v>#VALUE!</v>
      </c>
      <c r="GD13" t="e">
        <f>AND(EDUFISICA!D9,"AAAAAHe3+bk=")</f>
        <v>#VALUE!</v>
      </c>
      <c r="GE13" t="e">
        <f>AND(EDUFISICA!E9,"AAAAAHe3+bo=")</f>
        <v>#VALUE!</v>
      </c>
      <c r="GF13" t="e">
        <f>AND(EDUFISICA!F9,"AAAAAHe3+bs=")</f>
        <v>#VALUE!</v>
      </c>
      <c r="GG13" t="e">
        <f>AND(EDUFISICA!G9,"AAAAAHe3+bw=")</f>
        <v>#VALUE!</v>
      </c>
      <c r="GH13" t="e">
        <f>AND(EDUFISICA!H9,"AAAAAHe3+b0=")</f>
        <v>#VALUE!</v>
      </c>
      <c r="GI13" t="e">
        <f>AND(EDUFISICA!I9,"AAAAAHe3+b4=")</f>
        <v>#VALUE!</v>
      </c>
      <c r="GJ13" t="e">
        <f>AND(EDUFISICA!J9,"AAAAAHe3+b8=")</f>
        <v>#VALUE!</v>
      </c>
      <c r="GK13" t="e">
        <f>AND(EDUFISICA!K9,"AAAAAHe3+cA=")</f>
        <v>#VALUE!</v>
      </c>
      <c r="GL13" t="e">
        <f>AND(EDUFISICA!L9,"AAAAAHe3+cE=")</f>
        <v>#VALUE!</v>
      </c>
      <c r="GM13">
        <f>IF(EDUFISICA!10:10,"AAAAAHe3+cI=",0)</f>
        <v>0</v>
      </c>
      <c r="GN13" t="e">
        <f>AND(EDUFISICA!A10,"AAAAAHe3+cM=")</f>
        <v>#VALUE!</v>
      </c>
      <c r="GO13" t="e">
        <f>AND(EDUFISICA!B10,"AAAAAHe3+cQ=")</f>
        <v>#VALUE!</v>
      </c>
      <c r="GP13" t="e">
        <f>AND(EDUFISICA!C10,"AAAAAHe3+cU=")</f>
        <v>#VALUE!</v>
      </c>
      <c r="GQ13" t="e">
        <f>AND(EDUFISICA!D10,"AAAAAHe3+cY=")</f>
        <v>#VALUE!</v>
      </c>
      <c r="GR13" t="e">
        <f>AND(EDUFISICA!E10,"AAAAAHe3+cc=")</f>
        <v>#VALUE!</v>
      </c>
      <c r="GS13" t="e">
        <f>AND(EDUFISICA!F10,"AAAAAHe3+cg=")</f>
        <v>#VALUE!</v>
      </c>
      <c r="GT13" t="e">
        <f>AND(EDUFISICA!G10,"AAAAAHe3+ck=")</f>
        <v>#VALUE!</v>
      </c>
      <c r="GU13" t="e">
        <f>AND(EDUFISICA!H10,"AAAAAHe3+co=")</f>
        <v>#VALUE!</v>
      </c>
      <c r="GV13" t="e">
        <f>AND(EDUFISICA!I10,"AAAAAHe3+cs=")</f>
        <v>#VALUE!</v>
      </c>
      <c r="GW13" t="e">
        <f>AND(EDUFISICA!J10,"AAAAAHe3+cw=")</f>
        <v>#VALUE!</v>
      </c>
      <c r="GX13" t="e">
        <f>AND(EDUFISICA!K10,"AAAAAHe3+c0=")</f>
        <v>#VALUE!</v>
      </c>
      <c r="GY13" t="e">
        <f>AND(EDUFISICA!L10,"AAAAAHe3+c4=")</f>
        <v>#VALUE!</v>
      </c>
      <c r="GZ13">
        <f>IF(EDUFISICA!11:11,"AAAAAHe3+c8=",0)</f>
        <v>0</v>
      </c>
      <c r="HA13" t="e">
        <f>AND(EDUFISICA!A11,"AAAAAHe3+dA=")</f>
        <v>#VALUE!</v>
      </c>
      <c r="HB13" t="e">
        <f>AND(EDUFISICA!B11,"AAAAAHe3+dE=")</f>
        <v>#VALUE!</v>
      </c>
      <c r="HC13" t="e">
        <f>AND(EDUFISICA!C11,"AAAAAHe3+dI=")</f>
        <v>#VALUE!</v>
      </c>
      <c r="HD13" t="e">
        <f>AND(EDUFISICA!D11,"AAAAAHe3+dM=")</f>
        <v>#VALUE!</v>
      </c>
      <c r="HE13" t="e">
        <f>AND(EDUFISICA!E11,"AAAAAHe3+dQ=")</f>
        <v>#VALUE!</v>
      </c>
      <c r="HF13" t="e">
        <f>AND(EDUFISICA!F11,"AAAAAHe3+dU=")</f>
        <v>#VALUE!</v>
      </c>
      <c r="HG13" t="e">
        <f>AND(EDUFISICA!G11,"AAAAAHe3+dY=")</f>
        <v>#VALUE!</v>
      </c>
      <c r="HH13" t="e">
        <f>AND(EDUFISICA!H11,"AAAAAHe3+dc=")</f>
        <v>#VALUE!</v>
      </c>
      <c r="HI13" t="e">
        <f>AND(EDUFISICA!I11,"AAAAAHe3+dg=")</f>
        <v>#VALUE!</v>
      </c>
      <c r="HJ13" t="e">
        <f>AND(EDUFISICA!J11,"AAAAAHe3+dk=")</f>
        <v>#VALUE!</v>
      </c>
      <c r="HK13" t="e">
        <f>AND(EDUFISICA!K11,"AAAAAHe3+do=")</f>
        <v>#VALUE!</v>
      </c>
      <c r="HL13" t="e">
        <f>AND(EDUFISICA!L11,"AAAAAHe3+ds=")</f>
        <v>#VALUE!</v>
      </c>
      <c r="HM13">
        <f>IF(EDUFISICA!12:12,"AAAAAHe3+dw=",0)</f>
        <v>0</v>
      </c>
      <c r="HN13" t="e">
        <f>AND(EDUFISICA!A12,"AAAAAHe3+d0=")</f>
        <v>#VALUE!</v>
      </c>
      <c r="HO13" t="e">
        <f>AND(EDUFISICA!B12,"AAAAAHe3+d4=")</f>
        <v>#VALUE!</v>
      </c>
      <c r="HP13" t="e">
        <f>AND(EDUFISICA!C12,"AAAAAHe3+d8=")</f>
        <v>#VALUE!</v>
      </c>
      <c r="HQ13" t="e">
        <f>AND(EDUFISICA!D12,"AAAAAHe3+eA=")</f>
        <v>#VALUE!</v>
      </c>
      <c r="HR13" t="e">
        <f>AND(EDUFISICA!E12,"AAAAAHe3+eE=")</f>
        <v>#VALUE!</v>
      </c>
      <c r="HS13" t="e">
        <f>AND(EDUFISICA!F12,"AAAAAHe3+eI=")</f>
        <v>#VALUE!</v>
      </c>
      <c r="HT13" t="e">
        <f>AND(EDUFISICA!G12,"AAAAAHe3+eM=")</f>
        <v>#VALUE!</v>
      </c>
      <c r="HU13" t="e">
        <f>AND(EDUFISICA!H12,"AAAAAHe3+eQ=")</f>
        <v>#VALUE!</v>
      </c>
      <c r="HV13" t="e">
        <f>AND(EDUFISICA!I12,"AAAAAHe3+eU=")</f>
        <v>#VALUE!</v>
      </c>
      <c r="HW13" t="e">
        <f>AND(EDUFISICA!J12,"AAAAAHe3+eY=")</f>
        <v>#VALUE!</v>
      </c>
      <c r="HX13" t="e">
        <f>AND(EDUFISICA!K12,"AAAAAHe3+ec=")</f>
        <v>#VALUE!</v>
      </c>
      <c r="HY13" t="e">
        <f>AND(EDUFISICA!L12,"AAAAAHe3+eg=")</f>
        <v>#VALUE!</v>
      </c>
      <c r="HZ13">
        <f>IF(EDUFISICA!13:13,"AAAAAHe3+ek=",0)</f>
        <v>0</v>
      </c>
      <c r="IA13" t="e">
        <f>AND(EDUFISICA!A13,"AAAAAHe3+eo=")</f>
        <v>#VALUE!</v>
      </c>
      <c r="IB13" t="e">
        <f>AND(EDUFISICA!B13,"AAAAAHe3+es=")</f>
        <v>#VALUE!</v>
      </c>
      <c r="IC13" t="e">
        <f>AND(EDUFISICA!C13,"AAAAAHe3+ew=")</f>
        <v>#VALUE!</v>
      </c>
      <c r="ID13" t="e">
        <f>AND(EDUFISICA!D13,"AAAAAHe3+e0=")</f>
        <v>#VALUE!</v>
      </c>
      <c r="IE13" t="e">
        <f>AND(EDUFISICA!E13,"AAAAAHe3+e4=")</f>
        <v>#VALUE!</v>
      </c>
      <c r="IF13" t="e">
        <f>AND(EDUFISICA!F13,"AAAAAHe3+e8=")</f>
        <v>#VALUE!</v>
      </c>
      <c r="IG13" t="e">
        <f>AND(EDUFISICA!G13,"AAAAAHe3+fA=")</f>
        <v>#VALUE!</v>
      </c>
      <c r="IH13" t="e">
        <f>AND(EDUFISICA!H13,"AAAAAHe3+fE=")</f>
        <v>#VALUE!</v>
      </c>
      <c r="II13" t="e">
        <f>AND(EDUFISICA!I13,"AAAAAHe3+fI=")</f>
        <v>#VALUE!</v>
      </c>
      <c r="IJ13" t="e">
        <f>AND(EDUFISICA!J13,"AAAAAHe3+fM=")</f>
        <v>#VALUE!</v>
      </c>
      <c r="IK13" t="e">
        <f>AND(EDUFISICA!K13,"AAAAAHe3+fQ=")</f>
        <v>#VALUE!</v>
      </c>
      <c r="IL13" t="e">
        <f>AND(EDUFISICA!L13,"AAAAAHe3+fU=")</f>
        <v>#VALUE!</v>
      </c>
      <c r="IM13">
        <f>IF(EDUFISICA!14:14,"AAAAAHe3+fY=",0)</f>
        <v>0</v>
      </c>
      <c r="IN13" t="e">
        <f>AND(EDUFISICA!A14,"AAAAAHe3+fc=")</f>
        <v>#VALUE!</v>
      </c>
      <c r="IO13" t="e">
        <f>AND(EDUFISICA!B14,"AAAAAHe3+fg=")</f>
        <v>#VALUE!</v>
      </c>
      <c r="IP13" t="e">
        <f>AND(EDUFISICA!C14,"AAAAAHe3+fk=")</f>
        <v>#VALUE!</v>
      </c>
      <c r="IQ13" t="e">
        <f>AND(EDUFISICA!D14,"AAAAAHe3+fo=")</f>
        <v>#VALUE!</v>
      </c>
      <c r="IR13" t="e">
        <f>AND(EDUFISICA!E14,"AAAAAHe3+fs=")</f>
        <v>#VALUE!</v>
      </c>
      <c r="IS13" t="e">
        <f>AND(EDUFISICA!F14,"AAAAAHe3+fw=")</f>
        <v>#VALUE!</v>
      </c>
      <c r="IT13" t="e">
        <f>AND(EDUFISICA!G14,"AAAAAHe3+f0=")</f>
        <v>#VALUE!</v>
      </c>
      <c r="IU13" t="e">
        <f>AND(EDUFISICA!H14,"AAAAAHe3+f4=")</f>
        <v>#VALUE!</v>
      </c>
      <c r="IV13" t="e">
        <f>AND(EDUFISICA!I14,"AAAAAHe3+f8=")</f>
        <v>#VALUE!</v>
      </c>
    </row>
    <row r="14" spans="1:256">
      <c r="A14" t="e">
        <f>AND(EDUFISICA!J14,"AAAAAG+fnwA=")</f>
        <v>#VALUE!</v>
      </c>
      <c r="B14" t="e">
        <f>AND(EDUFISICA!K14,"AAAAAG+fnwE=")</f>
        <v>#VALUE!</v>
      </c>
      <c r="C14" t="e">
        <f>AND(EDUFISICA!L14,"AAAAAG+fnwI=")</f>
        <v>#VALUE!</v>
      </c>
      <c r="D14">
        <f>IF(EDUFISICA!15:15,"AAAAAG+fnwM=",0)</f>
        <v>0</v>
      </c>
      <c r="E14" t="e">
        <f>AND(EDUFISICA!A15,"AAAAAG+fnwQ=")</f>
        <v>#VALUE!</v>
      </c>
      <c r="F14" t="e">
        <f>AND(EDUFISICA!B15,"AAAAAG+fnwU=")</f>
        <v>#VALUE!</v>
      </c>
      <c r="G14" t="e">
        <f>AND(EDUFISICA!C15,"AAAAAG+fnwY=")</f>
        <v>#VALUE!</v>
      </c>
      <c r="H14" t="e">
        <f>AND(EDUFISICA!D15,"AAAAAG+fnwc=")</f>
        <v>#VALUE!</v>
      </c>
      <c r="I14" t="e">
        <f>AND(EDUFISICA!E15,"AAAAAG+fnwg=")</f>
        <v>#VALUE!</v>
      </c>
      <c r="J14" t="e">
        <f>AND(EDUFISICA!F15,"AAAAAG+fnwk=")</f>
        <v>#VALUE!</v>
      </c>
      <c r="K14" t="e">
        <f>AND(EDUFISICA!G15,"AAAAAG+fnwo=")</f>
        <v>#VALUE!</v>
      </c>
      <c r="L14" t="e">
        <f>AND(EDUFISICA!H15,"AAAAAG+fnws=")</f>
        <v>#VALUE!</v>
      </c>
      <c r="M14" t="e">
        <f>AND(EDUFISICA!I15,"AAAAAG+fnww=")</f>
        <v>#VALUE!</v>
      </c>
      <c r="N14" t="e">
        <f>AND(EDUFISICA!J15,"AAAAAG+fnw0=")</f>
        <v>#VALUE!</v>
      </c>
      <c r="O14" t="e">
        <f>AND(EDUFISICA!K15,"AAAAAG+fnw4=")</f>
        <v>#VALUE!</v>
      </c>
      <c r="P14" t="e">
        <f>AND(EDUFISICA!L15,"AAAAAG+fnw8=")</f>
        <v>#VALUE!</v>
      </c>
      <c r="Q14">
        <f>IF(EDUFISICA!16:16,"AAAAAG+fnxA=",0)</f>
        <v>0</v>
      </c>
      <c r="R14" t="e">
        <f>AND(EDUFISICA!A16,"AAAAAG+fnxE=")</f>
        <v>#VALUE!</v>
      </c>
      <c r="S14" t="e">
        <f>AND(EDUFISICA!B16,"AAAAAG+fnxI=")</f>
        <v>#VALUE!</v>
      </c>
      <c r="T14" t="e">
        <f>AND(EDUFISICA!C16,"AAAAAG+fnxM=")</f>
        <v>#VALUE!</v>
      </c>
      <c r="U14" t="e">
        <f>AND(EDUFISICA!D16,"AAAAAG+fnxQ=")</f>
        <v>#VALUE!</v>
      </c>
      <c r="V14" t="e">
        <f>AND(EDUFISICA!E16,"AAAAAG+fnxU=")</f>
        <v>#VALUE!</v>
      </c>
      <c r="W14" t="e">
        <f>AND(EDUFISICA!F16,"AAAAAG+fnxY=")</f>
        <v>#VALUE!</v>
      </c>
      <c r="X14" t="e">
        <f>AND(EDUFISICA!G16,"AAAAAG+fnxc=")</f>
        <v>#VALUE!</v>
      </c>
      <c r="Y14" t="e">
        <f>AND(EDUFISICA!H16,"AAAAAG+fnxg=")</f>
        <v>#VALUE!</v>
      </c>
      <c r="Z14" t="e">
        <f>AND(EDUFISICA!I16,"AAAAAG+fnxk=")</f>
        <v>#VALUE!</v>
      </c>
      <c r="AA14" t="e">
        <f>AND(EDUFISICA!J16,"AAAAAG+fnxo=")</f>
        <v>#VALUE!</v>
      </c>
      <c r="AB14" t="e">
        <f>AND(EDUFISICA!K16,"AAAAAG+fnxs=")</f>
        <v>#VALUE!</v>
      </c>
      <c r="AC14" t="e">
        <f>AND(EDUFISICA!L16,"AAAAAG+fnxw=")</f>
        <v>#VALUE!</v>
      </c>
      <c r="AD14">
        <f>IF(EDUFISICA!17:17,"AAAAAG+fnx0=",0)</f>
        <v>0</v>
      </c>
      <c r="AE14" t="e">
        <f>AND(EDUFISICA!A17,"AAAAAG+fnx4=")</f>
        <v>#VALUE!</v>
      </c>
      <c r="AF14" t="e">
        <f>AND(EDUFISICA!B17,"AAAAAG+fnx8=")</f>
        <v>#VALUE!</v>
      </c>
      <c r="AG14" t="e">
        <f>AND(EDUFISICA!C17,"AAAAAG+fnyA=")</f>
        <v>#VALUE!</v>
      </c>
      <c r="AH14" t="e">
        <f>AND(EDUFISICA!D17,"AAAAAG+fnyE=")</f>
        <v>#VALUE!</v>
      </c>
      <c r="AI14" t="e">
        <f>AND(EDUFISICA!E17,"AAAAAG+fnyI=")</f>
        <v>#VALUE!</v>
      </c>
      <c r="AJ14" t="e">
        <f>AND(EDUFISICA!F17,"AAAAAG+fnyM=")</f>
        <v>#VALUE!</v>
      </c>
      <c r="AK14" t="e">
        <f>AND(EDUFISICA!G17,"AAAAAG+fnyQ=")</f>
        <v>#VALUE!</v>
      </c>
      <c r="AL14" t="e">
        <f>AND(EDUFISICA!H17,"AAAAAG+fnyU=")</f>
        <v>#VALUE!</v>
      </c>
      <c r="AM14" t="e">
        <f>AND(EDUFISICA!I17,"AAAAAG+fnyY=")</f>
        <v>#VALUE!</v>
      </c>
      <c r="AN14" t="e">
        <f>AND(EDUFISICA!J17,"AAAAAG+fnyc=")</f>
        <v>#VALUE!</v>
      </c>
      <c r="AO14" t="e">
        <f>AND(EDUFISICA!K17,"AAAAAG+fnyg=")</f>
        <v>#VALUE!</v>
      </c>
      <c r="AP14" t="e">
        <f>AND(EDUFISICA!L17,"AAAAAG+fnyk=")</f>
        <v>#VALUE!</v>
      </c>
      <c r="AQ14">
        <f>IF(EDUFISICA!18:18,"AAAAAG+fnyo=",0)</f>
        <v>0</v>
      </c>
      <c r="AR14" t="e">
        <f>AND(EDUFISICA!A18,"AAAAAG+fnys=")</f>
        <v>#VALUE!</v>
      </c>
      <c r="AS14" t="e">
        <f>AND(EDUFISICA!B18,"AAAAAG+fnyw=")</f>
        <v>#VALUE!</v>
      </c>
      <c r="AT14" t="e">
        <f>AND(EDUFISICA!C18,"AAAAAG+fny0=")</f>
        <v>#VALUE!</v>
      </c>
      <c r="AU14" t="e">
        <f>AND(EDUFISICA!D18,"AAAAAG+fny4=")</f>
        <v>#VALUE!</v>
      </c>
      <c r="AV14" t="e">
        <f>AND(EDUFISICA!E18,"AAAAAG+fny8=")</f>
        <v>#VALUE!</v>
      </c>
      <c r="AW14" t="e">
        <f>AND(EDUFISICA!F18,"AAAAAG+fnzA=")</f>
        <v>#VALUE!</v>
      </c>
      <c r="AX14" t="e">
        <f>AND(EDUFISICA!G18,"AAAAAG+fnzE=")</f>
        <v>#VALUE!</v>
      </c>
      <c r="AY14" t="e">
        <f>AND(EDUFISICA!H18,"AAAAAG+fnzI=")</f>
        <v>#VALUE!</v>
      </c>
      <c r="AZ14" t="e">
        <f>AND(EDUFISICA!I18,"AAAAAG+fnzM=")</f>
        <v>#VALUE!</v>
      </c>
      <c r="BA14" t="e">
        <f>AND(EDUFISICA!J18,"AAAAAG+fnzQ=")</f>
        <v>#VALUE!</v>
      </c>
      <c r="BB14" t="e">
        <f>AND(EDUFISICA!K18,"AAAAAG+fnzU=")</f>
        <v>#VALUE!</v>
      </c>
      <c r="BC14" t="e">
        <f>AND(EDUFISICA!L18,"AAAAAG+fnzY=")</f>
        <v>#VALUE!</v>
      </c>
      <c r="BD14">
        <f>IF(EDUFISICA!19:19,"AAAAAG+fnzc=",0)</f>
        <v>0</v>
      </c>
      <c r="BE14" t="e">
        <f>AND(EDUFISICA!A19,"AAAAAG+fnzg=")</f>
        <v>#VALUE!</v>
      </c>
      <c r="BF14" t="e">
        <f>AND(EDUFISICA!B19,"AAAAAG+fnzk=")</f>
        <v>#VALUE!</v>
      </c>
      <c r="BG14" t="e">
        <f>AND(EDUFISICA!C19,"AAAAAG+fnzo=")</f>
        <v>#VALUE!</v>
      </c>
      <c r="BH14" t="e">
        <f>AND(EDUFISICA!D19,"AAAAAG+fnzs=")</f>
        <v>#VALUE!</v>
      </c>
      <c r="BI14" t="e">
        <f>AND(EDUFISICA!E19,"AAAAAG+fnzw=")</f>
        <v>#VALUE!</v>
      </c>
      <c r="BJ14" t="e">
        <f>AND(EDUFISICA!F19,"AAAAAG+fnz0=")</f>
        <v>#VALUE!</v>
      </c>
      <c r="BK14" t="e">
        <f>AND(EDUFISICA!G19,"AAAAAG+fnz4=")</f>
        <v>#VALUE!</v>
      </c>
      <c r="BL14" t="e">
        <f>AND(EDUFISICA!H19,"AAAAAG+fnz8=")</f>
        <v>#VALUE!</v>
      </c>
      <c r="BM14" t="e">
        <f>AND(EDUFISICA!I19,"AAAAAG+fn0A=")</f>
        <v>#VALUE!</v>
      </c>
      <c r="BN14" t="e">
        <f>AND(EDUFISICA!J19,"AAAAAG+fn0E=")</f>
        <v>#VALUE!</v>
      </c>
      <c r="BO14" t="e">
        <f>AND(EDUFISICA!K19,"AAAAAG+fn0I=")</f>
        <v>#VALUE!</v>
      </c>
      <c r="BP14" t="e">
        <f>AND(EDUFISICA!L19,"AAAAAG+fn0M=")</f>
        <v>#VALUE!</v>
      </c>
      <c r="BQ14">
        <f>IF(EDUFISICA!20:20,"AAAAAG+fn0Q=",0)</f>
        <v>0</v>
      </c>
      <c r="BR14" t="e">
        <f>AND(EDUFISICA!A20,"AAAAAG+fn0U=")</f>
        <v>#VALUE!</v>
      </c>
      <c r="BS14" t="e">
        <f>AND(EDUFISICA!B20,"AAAAAG+fn0Y=")</f>
        <v>#VALUE!</v>
      </c>
      <c r="BT14" t="e">
        <f>AND(EDUFISICA!C20,"AAAAAG+fn0c=")</f>
        <v>#VALUE!</v>
      </c>
      <c r="BU14" t="e">
        <f>AND(EDUFISICA!D20,"AAAAAG+fn0g=")</f>
        <v>#VALUE!</v>
      </c>
      <c r="BV14" t="e">
        <f>AND(EDUFISICA!E20,"AAAAAG+fn0k=")</f>
        <v>#VALUE!</v>
      </c>
      <c r="BW14" t="e">
        <f>AND(EDUFISICA!F20,"AAAAAG+fn0o=")</f>
        <v>#VALUE!</v>
      </c>
      <c r="BX14" t="e">
        <f>AND(EDUFISICA!G20,"AAAAAG+fn0s=")</f>
        <v>#VALUE!</v>
      </c>
      <c r="BY14" t="e">
        <f>AND(EDUFISICA!H20,"AAAAAG+fn0w=")</f>
        <v>#VALUE!</v>
      </c>
      <c r="BZ14" t="e">
        <f>AND(EDUFISICA!I20,"AAAAAG+fn00=")</f>
        <v>#VALUE!</v>
      </c>
      <c r="CA14" t="e">
        <f>AND(EDUFISICA!J20,"AAAAAG+fn04=")</f>
        <v>#VALUE!</v>
      </c>
      <c r="CB14" t="e">
        <f>AND(EDUFISICA!K20,"AAAAAG+fn08=")</f>
        <v>#VALUE!</v>
      </c>
      <c r="CC14" t="e">
        <f>AND(EDUFISICA!L20,"AAAAAG+fn1A=")</f>
        <v>#VALUE!</v>
      </c>
      <c r="CD14">
        <f>IF(EDUFISICA!21:21,"AAAAAG+fn1E=",0)</f>
        <v>0</v>
      </c>
      <c r="CE14" t="e">
        <f>AND(EDUFISICA!A21,"AAAAAG+fn1I=")</f>
        <v>#VALUE!</v>
      </c>
      <c r="CF14" t="e">
        <f>AND(EDUFISICA!B21,"AAAAAG+fn1M=")</f>
        <v>#VALUE!</v>
      </c>
      <c r="CG14" t="e">
        <f>AND(EDUFISICA!C21,"AAAAAG+fn1Q=")</f>
        <v>#VALUE!</v>
      </c>
      <c r="CH14" t="e">
        <f>AND(EDUFISICA!D21,"AAAAAG+fn1U=")</f>
        <v>#VALUE!</v>
      </c>
      <c r="CI14" t="e">
        <f>AND(EDUFISICA!E21,"AAAAAG+fn1Y=")</f>
        <v>#VALUE!</v>
      </c>
      <c r="CJ14" t="e">
        <f>AND(EDUFISICA!F21,"AAAAAG+fn1c=")</f>
        <v>#VALUE!</v>
      </c>
      <c r="CK14" t="e">
        <f>AND(EDUFISICA!G21,"AAAAAG+fn1g=")</f>
        <v>#VALUE!</v>
      </c>
      <c r="CL14" t="e">
        <f>AND(EDUFISICA!H21,"AAAAAG+fn1k=")</f>
        <v>#VALUE!</v>
      </c>
      <c r="CM14" t="e">
        <f>AND(EDUFISICA!I21,"AAAAAG+fn1o=")</f>
        <v>#VALUE!</v>
      </c>
      <c r="CN14" t="e">
        <f>AND(EDUFISICA!J21,"AAAAAG+fn1s=")</f>
        <v>#VALUE!</v>
      </c>
      <c r="CO14" t="e">
        <f>AND(EDUFISICA!K21,"AAAAAG+fn1w=")</f>
        <v>#VALUE!</v>
      </c>
      <c r="CP14" t="e">
        <f>AND(EDUFISICA!L21,"AAAAAG+fn10=")</f>
        <v>#VALUE!</v>
      </c>
      <c r="CQ14">
        <f>IF(EDUFISICA!22:22,"AAAAAG+fn14=",0)</f>
        <v>0</v>
      </c>
      <c r="CR14" t="e">
        <f>AND(EDUFISICA!A22,"AAAAAG+fn18=")</f>
        <v>#VALUE!</v>
      </c>
      <c r="CS14" t="e">
        <f>AND(EDUFISICA!B22,"AAAAAG+fn2A=")</f>
        <v>#VALUE!</v>
      </c>
      <c r="CT14" t="e">
        <f>AND(EDUFISICA!C22,"AAAAAG+fn2E=")</f>
        <v>#VALUE!</v>
      </c>
      <c r="CU14" t="e">
        <f>AND(EDUFISICA!D22,"AAAAAG+fn2I=")</f>
        <v>#VALUE!</v>
      </c>
      <c r="CV14" t="e">
        <f>AND(EDUFISICA!E22,"AAAAAG+fn2M=")</f>
        <v>#VALUE!</v>
      </c>
      <c r="CW14" t="e">
        <f>AND(EDUFISICA!F22,"AAAAAG+fn2Q=")</f>
        <v>#VALUE!</v>
      </c>
      <c r="CX14" t="e">
        <f>AND(EDUFISICA!G22,"AAAAAG+fn2U=")</f>
        <v>#VALUE!</v>
      </c>
      <c r="CY14" t="e">
        <f>AND(EDUFISICA!H22,"AAAAAG+fn2Y=")</f>
        <v>#VALUE!</v>
      </c>
      <c r="CZ14" t="e">
        <f>AND(EDUFISICA!I22,"AAAAAG+fn2c=")</f>
        <v>#VALUE!</v>
      </c>
      <c r="DA14" t="e">
        <f>AND(EDUFISICA!J22,"AAAAAG+fn2g=")</f>
        <v>#VALUE!</v>
      </c>
      <c r="DB14" t="e">
        <f>AND(EDUFISICA!K22,"AAAAAG+fn2k=")</f>
        <v>#VALUE!</v>
      </c>
      <c r="DC14" t="e">
        <f>AND(EDUFISICA!L22,"AAAAAG+fn2o=")</f>
        <v>#VALUE!</v>
      </c>
      <c r="DD14">
        <f>IF(EDUFISICA!23:23,"AAAAAG+fn2s=",0)</f>
        <v>0</v>
      </c>
      <c r="DE14" t="e">
        <f>AND(EDUFISICA!A23,"AAAAAG+fn2w=")</f>
        <v>#VALUE!</v>
      </c>
      <c r="DF14" t="e">
        <f>AND(EDUFISICA!B23,"AAAAAG+fn20=")</f>
        <v>#VALUE!</v>
      </c>
      <c r="DG14" t="e">
        <f>AND(EDUFISICA!C23,"AAAAAG+fn24=")</f>
        <v>#VALUE!</v>
      </c>
      <c r="DH14" t="e">
        <f>AND(EDUFISICA!D23,"AAAAAG+fn28=")</f>
        <v>#VALUE!</v>
      </c>
      <c r="DI14" t="e">
        <f>AND(EDUFISICA!E23,"AAAAAG+fn3A=")</f>
        <v>#VALUE!</v>
      </c>
      <c r="DJ14" t="e">
        <f>AND(EDUFISICA!F23,"AAAAAG+fn3E=")</f>
        <v>#VALUE!</v>
      </c>
      <c r="DK14" t="e">
        <f>AND(EDUFISICA!G23,"AAAAAG+fn3I=")</f>
        <v>#VALUE!</v>
      </c>
      <c r="DL14" t="e">
        <f>AND(EDUFISICA!H23,"AAAAAG+fn3M=")</f>
        <v>#VALUE!</v>
      </c>
      <c r="DM14" t="e">
        <f>AND(EDUFISICA!I23,"AAAAAG+fn3Q=")</f>
        <v>#VALUE!</v>
      </c>
      <c r="DN14" t="e">
        <f>AND(EDUFISICA!J23,"AAAAAG+fn3U=")</f>
        <v>#VALUE!</v>
      </c>
      <c r="DO14" t="e">
        <f>AND(EDUFISICA!K23,"AAAAAG+fn3Y=")</f>
        <v>#VALUE!</v>
      </c>
      <c r="DP14" t="e">
        <f>AND(EDUFISICA!L23,"AAAAAG+fn3c=")</f>
        <v>#VALUE!</v>
      </c>
      <c r="DQ14">
        <f>IF(EDUFISICA!24:24,"AAAAAG+fn3g=",0)</f>
        <v>0</v>
      </c>
      <c r="DR14" t="e">
        <f>AND(EDUFISICA!A24,"AAAAAG+fn3k=")</f>
        <v>#VALUE!</v>
      </c>
      <c r="DS14" t="e">
        <f>AND(EDUFISICA!B24,"AAAAAG+fn3o=")</f>
        <v>#VALUE!</v>
      </c>
      <c r="DT14" t="e">
        <f>AND(EDUFISICA!C24,"AAAAAG+fn3s=")</f>
        <v>#VALUE!</v>
      </c>
      <c r="DU14" t="e">
        <f>AND(EDUFISICA!D24,"AAAAAG+fn3w=")</f>
        <v>#VALUE!</v>
      </c>
      <c r="DV14" t="e">
        <f>AND(EDUFISICA!E24,"AAAAAG+fn30=")</f>
        <v>#VALUE!</v>
      </c>
      <c r="DW14" t="e">
        <f>AND(EDUFISICA!F24,"AAAAAG+fn34=")</f>
        <v>#VALUE!</v>
      </c>
      <c r="DX14" t="e">
        <f>AND(EDUFISICA!G24,"AAAAAG+fn38=")</f>
        <v>#VALUE!</v>
      </c>
      <c r="DY14" t="e">
        <f>AND(EDUFISICA!H24,"AAAAAG+fn4A=")</f>
        <v>#VALUE!</v>
      </c>
      <c r="DZ14" t="e">
        <f>AND(EDUFISICA!I24,"AAAAAG+fn4E=")</f>
        <v>#VALUE!</v>
      </c>
      <c r="EA14" t="e">
        <f>AND(EDUFISICA!J24,"AAAAAG+fn4I=")</f>
        <v>#VALUE!</v>
      </c>
      <c r="EB14" t="e">
        <f>AND(EDUFISICA!K24,"AAAAAG+fn4M=")</f>
        <v>#VALUE!</v>
      </c>
      <c r="EC14" t="e">
        <f>AND(EDUFISICA!L24,"AAAAAG+fn4Q=")</f>
        <v>#VALUE!</v>
      </c>
      <c r="ED14">
        <f>IF(EDUFISICA!25:25,"AAAAAG+fn4U=",0)</f>
        <v>0</v>
      </c>
      <c r="EE14" t="e">
        <f>AND(EDUFISICA!A25,"AAAAAG+fn4Y=")</f>
        <v>#VALUE!</v>
      </c>
      <c r="EF14" t="e">
        <f>AND(EDUFISICA!B25,"AAAAAG+fn4c=")</f>
        <v>#VALUE!</v>
      </c>
      <c r="EG14" t="e">
        <f>AND(EDUFISICA!C25,"AAAAAG+fn4g=")</f>
        <v>#VALUE!</v>
      </c>
      <c r="EH14" t="e">
        <f>AND(EDUFISICA!D25,"AAAAAG+fn4k=")</f>
        <v>#VALUE!</v>
      </c>
      <c r="EI14" t="e">
        <f>AND(EDUFISICA!E25,"AAAAAG+fn4o=")</f>
        <v>#VALUE!</v>
      </c>
      <c r="EJ14" t="e">
        <f>AND(EDUFISICA!F25,"AAAAAG+fn4s=")</f>
        <v>#VALUE!</v>
      </c>
      <c r="EK14" t="e">
        <f>AND(EDUFISICA!G25,"AAAAAG+fn4w=")</f>
        <v>#VALUE!</v>
      </c>
      <c r="EL14" t="e">
        <f>AND(EDUFISICA!H25,"AAAAAG+fn40=")</f>
        <v>#VALUE!</v>
      </c>
      <c r="EM14" t="e">
        <f>AND(EDUFISICA!I25,"AAAAAG+fn44=")</f>
        <v>#VALUE!</v>
      </c>
      <c r="EN14" t="e">
        <f>AND(EDUFISICA!J25,"AAAAAG+fn48=")</f>
        <v>#VALUE!</v>
      </c>
      <c r="EO14" t="e">
        <f>AND(EDUFISICA!K25,"AAAAAG+fn5A=")</f>
        <v>#VALUE!</v>
      </c>
      <c r="EP14" t="e">
        <f>AND(EDUFISICA!L25,"AAAAAG+fn5E=")</f>
        <v>#VALUE!</v>
      </c>
      <c r="EQ14">
        <f>IF(EDUFISICA!26:26,"AAAAAG+fn5I=",0)</f>
        <v>0</v>
      </c>
      <c r="ER14" t="e">
        <f>AND(EDUFISICA!A26,"AAAAAG+fn5M=")</f>
        <v>#VALUE!</v>
      </c>
      <c r="ES14" t="e">
        <f>AND(EDUFISICA!B26,"AAAAAG+fn5Q=")</f>
        <v>#VALUE!</v>
      </c>
      <c r="ET14" t="e">
        <f>AND(EDUFISICA!C26,"AAAAAG+fn5U=")</f>
        <v>#VALUE!</v>
      </c>
      <c r="EU14" t="e">
        <f>AND(EDUFISICA!D26,"AAAAAG+fn5Y=")</f>
        <v>#VALUE!</v>
      </c>
      <c r="EV14" t="e">
        <f>AND(EDUFISICA!E26,"AAAAAG+fn5c=")</f>
        <v>#VALUE!</v>
      </c>
      <c r="EW14" t="e">
        <f>AND(EDUFISICA!F26,"AAAAAG+fn5g=")</f>
        <v>#VALUE!</v>
      </c>
      <c r="EX14" t="e">
        <f>AND(EDUFISICA!G26,"AAAAAG+fn5k=")</f>
        <v>#VALUE!</v>
      </c>
      <c r="EY14" t="e">
        <f>AND(EDUFISICA!H26,"AAAAAG+fn5o=")</f>
        <v>#VALUE!</v>
      </c>
      <c r="EZ14" t="e">
        <f>AND(EDUFISICA!I26,"AAAAAG+fn5s=")</f>
        <v>#VALUE!</v>
      </c>
      <c r="FA14" t="e">
        <f>AND(EDUFISICA!J26,"AAAAAG+fn5w=")</f>
        <v>#VALUE!</v>
      </c>
      <c r="FB14" t="e">
        <f>AND(EDUFISICA!K26,"AAAAAG+fn50=")</f>
        <v>#VALUE!</v>
      </c>
      <c r="FC14" t="e">
        <f>AND(EDUFISICA!L26,"AAAAAG+fn54=")</f>
        <v>#VALUE!</v>
      </c>
      <c r="FD14">
        <f>IF(EDUFISICA!27:27,"AAAAAG+fn58=",0)</f>
        <v>0</v>
      </c>
      <c r="FE14" t="e">
        <f>AND(EDUFISICA!A27,"AAAAAG+fn6A=")</f>
        <v>#VALUE!</v>
      </c>
      <c r="FF14" t="e">
        <f>AND(EDUFISICA!B27,"AAAAAG+fn6E=")</f>
        <v>#VALUE!</v>
      </c>
      <c r="FG14" t="e">
        <f>AND(EDUFISICA!C27,"AAAAAG+fn6I=")</f>
        <v>#VALUE!</v>
      </c>
      <c r="FH14" t="e">
        <f>AND(EDUFISICA!D27,"AAAAAG+fn6M=")</f>
        <v>#VALUE!</v>
      </c>
      <c r="FI14" t="e">
        <f>AND(EDUFISICA!E27,"AAAAAG+fn6Q=")</f>
        <v>#VALUE!</v>
      </c>
      <c r="FJ14" t="e">
        <f>AND(EDUFISICA!F27,"AAAAAG+fn6U=")</f>
        <v>#VALUE!</v>
      </c>
      <c r="FK14" t="e">
        <f>AND(EDUFISICA!G27,"AAAAAG+fn6Y=")</f>
        <v>#VALUE!</v>
      </c>
      <c r="FL14" t="e">
        <f>AND(EDUFISICA!H27,"AAAAAG+fn6c=")</f>
        <v>#VALUE!</v>
      </c>
      <c r="FM14" t="e">
        <f>AND(EDUFISICA!I27,"AAAAAG+fn6g=")</f>
        <v>#VALUE!</v>
      </c>
      <c r="FN14" t="e">
        <f>AND(EDUFISICA!J27,"AAAAAG+fn6k=")</f>
        <v>#VALUE!</v>
      </c>
      <c r="FO14" t="e">
        <f>AND(EDUFISICA!K27,"AAAAAG+fn6o=")</f>
        <v>#VALUE!</v>
      </c>
      <c r="FP14" t="e">
        <f>AND(EDUFISICA!L27,"AAAAAG+fn6s=")</f>
        <v>#VALUE!</v>
      </c>
      <c r="FQ14">
        <f>IF(EDUFISICA!28:28,"AAAAAG+fn6w=",0)</f>
        <v>0</v>
      </c>
      <c r="FR14" t="e">
        <f>AND(EDUFISICA!A28,"AAAAAG+fn60=")</f>
        <v>#VALUE!</v>
      </c>
      <c r="FS14" t="e">
        <f>AND(EDUFISICA!B28,"AAAAAG+fn64=")</f>
        <v>#VALUE!</v>
      </c>
      <c r="FT14" t="e">
        <f>AND(EDUFISICA!C28,"AAAAAG+fn68=")</f>
        <v>#VALUE!</v>
      </c>
      <c r="FU14" t="e">
        <f>AND(EDUFISICA!D28,"AAAAAG+fn7A=")</f>
        <v>#VALUE!</v>
      </c>
      <c r="FV14" t="e">
        <f>AND(EDUFISICA!E28,"AAAAAG+fn7E=")</f>
        <v>#VALUE!</v>
      </c>
      <c r="FW14" t="e">
        <f>AND(EDUFISICA!F28,"AAAAAG+fn7I=")</f>
        <v>#VALUE!</v>
      </c>
      <c r="FX14" t="e">
        <f>AND(EDUFISICA!G28,"AAAAAG+fn7M=")</f>
        <v>#VALUE!</v>
      </c>
      <c r="FY14" t="e">
        <f>AND(EDUFISICA!H28,"AAAAAG+fn7Q=")</f>
        <v>#VALUE!</v>
      </c>
      <c r="FZ14" t="e">
        <f>AND(EDUFISICA!I28,"AAAAAG+fn7U=")</f>
        <v>#VALUE!</v>
      </c>
      <c r="GA14" t="e">
        <f>AND(EDUFISICA!J28,"AAAAAG+fn7Y=")</f>
        <v>#VALUE!</v>
      </c>
      <c r="GB14" t="e">
        <f>AND(EDUFISICA!K28,"AAAAAG+fn7c=")</f>
        <v>#VALUE!</v>
      </c>
      <c r="GC14" t="e">
        <f>AND(EDUFISICA!L28,"AAAAAG+fn7g=")</f>
        <v>#VALUE!</v>
      </c>
      <c r="GD14">
        <f>IF(EDUFISICA!29:29,"AAAAAG+fn7k=",0)</f>
        <v>0</v>
      </c>
      <c r="GE14" t="e">
        <f>AND(EDUFISICA!A29,"AAAAAG+fn7o=")</f>
        <v>#VALUE!</v>
      </c>
      <c r="GF14" t="e">
        <f>AND(EDUFISICA!B29,"AAAAAG+fn7s=")</f>
        <v>#VALUE!</v>
      </c>
      <c r="GG14" t="e">
        <f>AND(EDUFISICA!C29,"AAAAAG+fn7w=")</f>
        <v>#VALUE!</v>
      </c>
      <c r="GH14" t="e">
        <f>AND(EDUFISICA!D29,"AAAAAG+fn70=")</f>
        <v>#VALUE!</v>
      </c>
      <c r="GI14" t="e">
        <f>AND(EDUFISICA!E29,"AAAAAG+fn74=")</f>
        <v>#VALUE!</v>
      </c>
      <c r="GJ14" t="e">
        <f>AND(EDUFISICA!F29,"AAAAAG+fn78=")</f>
        <v>#VALUE!</v>
      </c>
      <c r="GK14" t="e">
        <f>AND(EDUFISICA!G29,"AAAAAG+fn8A=")</f>
        <v>#VALUE!</v>
      </c>
      <c r="GL14" t="e">
        <f>AND(EDUFISICA!H29,"AAAAAG+fn8E=")</f>
        <v>#VALUE!</v>
      </c>
      <c r="GM14" t="e">
        <f>AND(EDUFISICA!I29,"AAAAAG+fn8I=")</f>
        <v>#VALUE!</v>
      </c>
      <c r="GN14" t="e">
        <f>AND(EDUFISICA!J29,"AAAAAG+fn8M=")</f>
        <v>#VALUE!</v>
      </c>
      <c r="GO14" t="e">
        <f>AND(EDUFISICA!K29,"AAAAAG+fn8Q=")</f>
        <v>#VALUE!</v>
      </c>
      <c r="GP14" t="e">
        <f>AND(EDUFISICA!L29,"AAAAAG+fn8U=")</f>
        <v>#VALUE!</v>
      </c>
      <c r="GQ14">
        <f>IF(EDUFISICA!30:30,"AAAAAG+fn8Y=",0)</f>
        <v>0</v>
      </c>
      <c r="GR14" t="e">
        <f>AND(EDUFISICA!A30,"AAAAAG+fn8c=")</f>
        <v>#VALUE!</v>
      </c>
      <c r="GS14" t="e">
        <f>AND(EDUFISICA!B30,"AAAAAG+fn8g=")</f>
        <v>#VALUE!</v>
      </c>
      <c r="GT14" t="e">
        <f>AND(EDUFISICA!C30,"AAAAAG+fn8k=")</f>
        <v>#VALUE!</v>
      </c>
      <c r="GU14" t="e">
        <f>AND(EDUFISICA!D30,"AAAAAG+fn8o=")</f>
        <v>#VALUE!</v>
      </c>
      <c r="GV14" t="e">
        <f>AND(EDUFISICA!E30,"AAAAAG+fn8s=")</f>
        <v>#VALUE!</v>
      </c>
      <c r="GW14" t="e">
        <f>AND(EDUFISICA!F30,"AAAAAG+fn8w=")</f>
        <v>#VALUE!</v>
      </c>
      <c r="GX14" t="e">
        <f>AND(EDUFISICA!G30,"AAAAAG+fn80=")</f>
        <v>#VALUE!</v>
      </c>
      <c r="GY14" t="e">
        <f>AND(EDUFISICA!H30,"AAAAAG+fn84=")</f>
        <v>#VALUE!</v>
      </c>
      <c r="GZ14" t="e">
        <f>AND(EDUFISICA!I30,"AAAAAG+fn88=")</f>
        <v>#VALUE!</v>
      </c>
      <c r="HA14" t="e">
        <f>AND(EDUFISICA!J30,"AAAAAG+fn9A=")</f>
        <v>#VALUE!</v>
      </c>
      <c r="HB14" t="e">
        <f>AND(EDUFISICA!K30,"AAAAAG+fn9E=")</f>
        <v>#VALUE!</v>
      </c>
      <c r="HC14" t="e">
        <f>AND(EDUFISICA!L30,"AAAAAG+fn9I=")</f>
        <v>#VALUE!</v>
      </c>
      <c r="HD14">
        <f>IF(EDUFISICA!31:31,"AAAAAG+fn9M=",0)</f>
        <v>0</v>
      </c>
      <c r="HE14" t="e">
        <f>AND(EDUFISICA!A31,"AAAAAG+fn9Q=")</f>
        <v>#VALUE!</v>
      </c>
      <c r="HF14" t="e">
        <f>AND(EDUFISICA!B31,"AAAAAG+fn9U=")</f>
        <v>#VALUE!</v>
      </c>
      <c r="HG14" t="e">
        <f>AND(EDUFISICA!C31,"AAAAAG+fn9Y=")</f>
        <v>#VALUE!</v>
      </c>
      <c r="HH14" t="e">
        <f>AND(EDUFISICA!D31,"AAAAAG+fn9c=")</f>
        <v>#VALUE!</v>
      </c>
      <c r="HI14" t="e">
        <f>AND(EDUFISICA!E31,"AAAAAG+fn9g=")</f>
        <v>#VALUE!</v>
      </c>
      <c r="HJ14" t="e">
        <f>AND(EDUFISICA!F31,"AAAAAG+fn9k=")</f>
        <v>#VALUE!</v>
      </c>
      <c r="HK14" t="e">
        <f>AND(EDUFISICA!G31,"AAAAAG+fn9o=")</f>
        <v>#VALUE!</v>
      </c>
      <c r="HL14" t="e">
        <f>AND(EDUFISICA!H31,"AAAAAG+fn9s=")</f>
        <v>#VALUE!</v>
      </c>
      <c r="HM14" t="e">
        <f>AND(EDUFISICA!I31,"AAAAAG+fn9w=")</f>
        <v>#VALUE!</v>
      </c>
      <c r="HN14" t="e">
        <f>AND(EDUFISICA!J31,"AAAAAG+fn90=")</f>
        <v>#VALUE!</v>
      </c>
      <c r="HO14" t="e">
        <f>AND(EDUFISICA!K31,"AAAAAG+fn94=")</f>
        <v>#VALUE!</v>
      </c>
      <c r="HP14" t="e">
        <f>AND(EDUFISICA!L31,"AAAAAG+fn98=")</f>
        <v>#VALUE!</v>
      </c>
      <c r="HQ14">
        <f>IF(EDUFISICA!32:32,"AAAAAG+fn+A=",0)</f>
        <v>0</v>
      </c>
      <c r="HR14" t="e">
        <f>AND(EDUFISICA!A32,"AAAAAG+fn+E=")</f>
        <v>#VALUE!</v>
      </c>
      <c r="HS14" t="e">
        <f>AND(EDUFISICA!B32,"AAAAAG+fn+I=")</f>
        <v>#VALUE!</v>
      </c>
      <c r="HT14" t="e">
        <f>AND(EDUFISICA!C32,"AAAAAG+fn+M=")</f>
        <v>#VALUE!</v>
      </c>
      <c r="HU14" t="e">
        <f>AND(EDUFISICA!D32,"AAAAAG+fn+Q=")</f>
        <v>#VALUE!</v>
      </c>
      <c r="HV14" t="e">
        <f>AND(EDUFISICA!E32,"AAAAAG+fn+U=")</f>
        <v>#VALUE!</v>
      </c>
      <c r="HW14" t="e">
        <f>AND(EDUFISICA!F32,"AAAAAG+fn+Y=")</f>
        <v>#VALUE!</v>
      </c>
      <c r="HX14" t="e">
        <f>AND(EDUFISICA!G32,"AAAAAG+fn+c=")</f>
        <v>#VALUE!</v>
      </c>
      <c r="HY14" t="e">
        <f>AND(EDUFISICA!H32,"AAAAAG+fn+g=")</f>
        <v>#VALUE!</v>
      </c>
      <c r="HZ14" t="e">
        <f>AND(EDUFISICA!I32,"AAAAAG+fn+k=")</f>
        <v>#VALUE!</v>
      </c>
      <c r="IA14" t="e">
        <f>AND(EDUFISICA!J32,"AAAAAG+fn+o=")</f>
        <v>#VALUE!</v>
      </c>
      <c r="IB14" t="e">
        <f>AND(EDUFISICA!K32,"AAAAAG+fn+s=")</f>
        <v>#VALUE!</v>
      </c>
      <c r="IC14" t="e">
        <f>AND(EDUFISICA!L32,"AAAAAG+fn+w=")</f>
        <v>#VALUE!</v>
      </c>
      <c r="ID14" t="e">
        <f>IF(EDUFISICA!A:A,"AAAAAG+fn+0=",0)</f>
        <v>#VALUE!</v>
      </c>
      <c r="IE14">
        <f>IF(EDUFISICA!B:B,"AAAAAG+fn+4=",0)</f>
        <v>0</v>
      </c>
      <c r="IF14">
        <f>IF(EDUFISICA!C:C,"AAAAAG+fn+8=",0)</f>
        <v>0</v>
      </c>
      <c r="IG14">
        <f>IF(EDUFISICA!D:D,"AAAAAG+fn/A=",0)</f>
        <v>0</v>
      </c>
      <c r="IH14">
        <f>IF(EDUFISICA!E:E,"AAAAAG+fn/E=",0)</f>
        <v>0</v>
      </c>
      <c r="II14">
        <f>IF(EDUFISICA!F:F,"AAAAAG+fn/I=",0)</f>
        <v>0</v>
      </c>
      <c r="IJ14">
        <f>IF(EDUFISICA!G:G,"AAAAAG+fn/M=",0)</f>
        <v>0</v>
      </c>
      <c r="IK14">
        <f>IF(EDUFISICA!H:H,"AAAAAG+fn/Q=",0)</f>
        <v>0</v>
      </c>
      <c r="IL14">
        <f>IF(EDUFISICA!I:I,"AAAAAG+fn/U=",0)</f>
        <v>0</v>
      </c>
      <c r="IM14">
        <f>IF(EDUFISICA!J:J,"AAAAAG+fn/Y=",0)</f>
        <v>0</v>
      </c>
      <c r="IN14">
        <f>IF(EDUFISICA!K:K,"AAAAAG+fn/c=",0)</f>
        <v>0</v>
      </c>
      <c r="IO14">
        <f>IF(EDUFISICA!L:L,"AAAAAG+fn/g=",0)</f>
        <v>0</v>
      </c>
      <c r="IP14">
        <f>IF(ARTES!1:1,"AAAAAG+fn/k=",0)</f>
        <v>0</v>
      </c>
      <c r="IQ14" t="e">
        <f>AND(ARTES!A1,"AAAAAG+fn/o=")</f>
        <v>#VALUE!</v>
      </c>
      <c r="IR14" t="e">
        <f>AND(ARTES!B1,"AAAAAG+fn/s=")</f>
        <v>#VALUE!</v>
      </c>
      <c r="IS14" t="e">
        <f>AND(ARTES!C1,"AAAAAG+fn/w=")</f>
        <v>#VALUE!</v>
      </c>
      <c r="IT14" t="e">
        <f>AND(ARTES!D1,"AAAAAG+fn/0=")</f>
        <v>#VALUE!</v>
      </c>
      <c r="IU14" t="e">
        <f>AND(ARTES!E1,"AAAAAG+fn/4=")</f>
        <v>#VALUE!</v>
      </c>
      <c r="IV14" t="e">
        <f>AND(ARTES!F1,"AAAAAG+fn/8=")</f>
        <v>#VALUE!</v>
      </c>
    </row>
    <row r="15" spans="1:256">
      <c r="A15" t="e">
        <f>AND(ARTES!G1,"AAAAAD3//wA=")</f>
        <v>#VALUE!</v>
      </c>
      <c r="B15" t="e">
        <f>AND(ARTES!H1,"AAAAAD3//wE=")</f>
        <v>#VALUE!</v>
      </c>
      <c r="C15" t="e">
        <f>AND(ARTES!I1,"AAAAAD3//wI=")</f>
        <v>#VALUE!</v>
      </c>
      <c r="D15" t="e">
        <f>AND(ARTES!J1,"AAAAAD3//wM=")</f>
        <v>#VALUE!</v>
      </c>
      <c r="E15" t="e">
        <f>AND(ARTES!K1,"AAAAAD3//wQ=")</f>
        <v>#VALUE!</v>
      </c>
      <c r="F15" t="e">
        <f>AND(ARTES!L1,"AAAAAD3//wU=")</f>
        <v>#VALUE!</v>
      </c>
      <c r="G15">
        <f>IF(ARTES!2:2,"AAAAAD3//wY=",0)</f>
        <v>0</v>
      </c>
      <c r="H15" t="e">
        <f>AND(ARTES!A2,"AAAAAD3//wc=")</f>
        <v>#VALUE!</v>
      </c>
      <c r="I15" t="e">
        <f>AND(ARTES!B2,"AAAAAD3//wg=")</f>
        <v>#VALUE!</v>
      </c>
      <c r="J15" t="e">
        <f>AND(ARTES!C2,"AAAAAD3//wk=")</f>
        <v>#VALUE!</v>
      </c>
      <c r="K15" t="e">
        <f>AND(ARTES!D2,"AAAAAD3//wo=")</f>
        <v>#VALUE!</v>
      </c>
      <c r="L15" t="e">
        <f>AND(ARTES!E2,"AAAAAD3//ws=")</f>
        <v>#VALUE!</v>
      </c>
      <c r="M15" t="e">
        <f>AND(ARTES!F2,"AAAAAD3//ww=")</f>
        <v>#VALUE!</v>
      </c>
      <c r="N15" t="e">
        <f>AND(ARTES!G2,"AAAAAD3//w0=")</f>
        <v>#VALUE!</v>
      </c>
      <c r="O15" t="e">
        <f>AND(ARTES!H2,"AAAAAD3//w4=")</f>
        <v>#VALUE!</v>
      </c>
      <c r="P15" t="e">
        <f>AND(ARTES!I2,"AAAAAD3//w8=")</f>
        <v>#VALUE!</v>
      </c>
      <c r="Q15" t="e">
        <f>AND(ARTES!J2,"AAAAAD3//xA=")</f>
        <v>#VALUE!</v>
      </c>
      <c r="R15" t="e">
        <f>AND(ARTES!K2,"AAAAAD3//xE=")</f>
        <v>#VALUE!</v>
      </c>
      <c r="S15" t="e">
        <f>AND(ARTES!L2,"AAAAAD3//xI=")</f>
        <v>#VALUE!</v>
      </c>
      <c r="T15">
        <f>IF(ARTES!3:3,"AAAAAD3//xM=",0)</f>
        <v>0</v>
      </c>
      <c r="U15" t="e">
        <f>AND(ARTES!A3,"AAAAAD3//xQ=")</f>
        <v>#VALUE!</v>
      </c>
      <c r="V15" t="e">
        <f>AND(ARTES!B3,"AAAAAD3//xU=")</f>
        <v>#VALUE!</v>
      </c>
      <c r="W15" t="e">
        <f>AND(ARTES!C3,"AAAAAD3//xY=")</f>
        <v>#VALUE!</v>
      </c>
      <c r="X15" t="e">
        <f>AND(ARTES!D3,"AAAAAD3//xc=")</f>
        <v>#VALUE!</v>
      </c>
      <c r="Y15" t="e">
        <f>AND(ARTES!E3,"AAAAAD3//xg=")</f>
        <v>#VALUE!</v>
      </c>
      <c r="Z15" t="e">
        <f>AND(ARTES!F3,"AAAAAD3//xk=")</f>
        <v>#VALUE!</v>
      </c>
      <c r="AA15" t="e">
        <f>AND(ARTES!G3,"AAAAAD3//xo=")</f>
        <v>#VALUE!</v>
      </c>
      <c r="AB15" t="e">
        <f>AND(ARTES!H3,"AAAAAD3//xs=")</f>
        <v>#VALUE!</v>
      </c>
      <c r="AC15" t="e">
        <f>AND(ARTES!I3,"AAAAAD3//xw=")</f>
        <v>#VALUE!</v>
      </c>
      <c r="AD15" t="e">
        <f>AND(ARTES!J3,"AAAAAD3//x0=")</f>
        <v>#VALUE!</v>
      </c>
      <c r="AE15" t="e">
        <f>AND(ARTES!K3,"AAAAAD3//x4=")</f>
        <v>#VALUE!</v>
      </c>
      <c r="AF15" t="e">
        <f>AND(ARTES!L3,"AAAAAD3//x8=")</f>
        <v>#VALUE!</v>
      </c>
      <c r="AG15">
        <f>IF(ARTES!4:4,"AAAAAD3//yA=",0)</f>
        <v>0</v>
      </c>
      <c r="AH15" t="e">
        <f>AND(ARTES!A4,"AAAAAD3//yE=")</f>
        <v>#VALUE!</v>
      </c>
      <c r="AI15" t="e">
        <f>AND(ARTES!B4,"AAAAAD3//yI=")</f>
        <v>#VALUE!</v>
      </c>
      <c r="AJ15" t="e">
        <f>AND(ARTES!C4,"AAAAAD3//yM=")</f>
        <v>#VALUE!</v>
      </c>
      <c r="AK15" t="e">
        <f>AND(ARTES!D4,"AAAAAD3//yQ=")</f>
        <v>#VALUE!</v>
      </c>
      <c r="AL15" t="e">
        <f>AND(ARTES!E4,"AAAAAD3//yU=")</f>
        <v>#VALUE!</v>
      </c>
      <c r="AM15" t="e">
        <f>AND(ARTES!F4,"AAAAAD3//yY=")</f>
        <v>#VALUE!</v>
      </c>
      <c r="AN15" t="e">
        <f>AND(ARTES!G4,"AAAAAD3//yc=")</f>
        <v>#VALUE!</v>
      </c>
      <c r="AO15" t="e">
        <f>AND(ARTES!H4,"AAAAAD3//yg=")</f>
        <v>#VALUE!</v>
      </c>
      <c r="AP15" t="e">
        <f>AND(ARTES!I4,"AAAAAD3//yk=")</f>
        <v>#VALUE!</v>
      </c>
      <c r="AQ15" t="e">
        <f>AND(ARTES!J4,"AAAAAD3//yo=")</f>
        <v>#VALUE!</v>
      </c>
      <c r="AR15" t="e">
        <f>AND(ARTES!K4,"AAAAAD3//ys=")</f>
        <v>#VALUE!</v>
      </c>
      <c r="AS15" t="e">
        <f>AND(ARTES!L4,"AAAAAD3//yw=")</f>
        <v>#VALUE!</v>
      </c>
      <c r="AT15">
        <f>IF(ARTES!5:5,"AAAAAD3//y0=",0)</f>
        <v>0</v>
      </c>
      <c r="AU15" t="e">
        <f>AND(ARTES!A5,"AAAAAD3//y4=")</f>
        <v>#VALUE!</v>
      </c>
      <c r="AV15" t="e">
        <f>AND(ARTES!B5,"AAAAAD3//y8=")</f>
        <v>#VALUE!</v>
      </c>
      <c r="AW15" t="e">
        <f>AND(ARTES!C5,"AAAAAD3//zA=")</f>
        <v>#VALUE!</v>
      </c>
      <c r="AX15" t="e">
        <f>AND(ARTES!D5,"AAAAAD3//zE=")</f>
        <v>#VALUE!</v>
      </c>
      <c r="AY15" t="e">
        <f>AND(ARTES!E5,"AAAAAD3//zI=")</f>
        <v>#VALUE!</v>
      </c>
      <c r="AZ15" t="e">
        <f>AND(ARTES!F5,"AAAAAD3//zM=")</f>
        <v>#VALUE!</v>
      </c>
      <c r="BA15" t="e">
        <f>AND(ARTES!G5,"AAAAAD3//zQ=")</f>
        <v>#VALUE!</v>
      </c>
      <c r="BB15" t="e">
        <f>AND(ARTES!H5,"AAAAAD3//zU=")</f>
        <v>#VALUE!</v>
      </c>
      <c r="BC15" t="e">
        <f>AND(ARTES!I5,"AAAAAD3//zY=")</f>
        <v>#VALUE!</v>
      </c>
      <c r="BD15" t="e">
        <f>AND(ARTES!J5,"AAAAAD3//zc=")</f>
        <v>#VALUE!</v>
      </c>
      <c r="BE15" t="e">
        <f>AND(ARTES!K5,"AAAAAD3//zg=")</f>
        <v>#VALUE!</v>
      </c>
      <c r="BF15" t="e">
        <f>AND(ARTES!L5,"AAAAAD3//zk=")</f>
        <v>#VALUE!</v>
      </c>
      <c r="BG15">
        <f>IF(ARTES!6:6,"AAAAAD3//zo=",0)</f>
        <v>0</v>
      </c>
      <c r="BH15" t="e">
        <f>AND(ARTES!A6,"AAAAAD3//zs=")</f>
        <v>#VALUE!</v>
      </c>
      <c r="BI15" t="e">
        <f>AND(ARTES!B6,"AAAAAD3//zw=")</f>
        <v>#VALUE!</v>
      </c>
      <c r="BJ15" t="e">
        <f>AND(ARTES!C6,"AAAAAD3//z0=")</f>
        <v>#VALUE!</v>
      </c>
      <c r="BK15" t="e">
        <f>AND(ARTES!D6,"AAAAAD3//z4=")</f>
        <v>#VALUE!</v>
      </c>
      <c r="BL15" t="e">
        <f>AND(ARTES!E6,"AAAAAD3//z8=")</f>
        <v>#VALUE!</v>
      </c>
      <c r="BM15" t="e">
        <f>AND(ARTES!F6,"AAAAAD3//0A=")</f>
        <v>#VALUE!</v>
      </c>
      <c r="BN15" t="e">
        <f>AND(ARTES!G6,"AAAAAD3//0E=")</f>
        <v>#VALUE!</v>
      </c>
      <c r="BO15" t="e">
        <f>AND(ARTES!H6,"AAAAAD3//0I=")</f>
        <v>#VALUE!</v>
      </c>
      <c r="BP15" t="e">
        <f>AND(ARTES!I6,"AAAAAD3//0M=")</f>
        <v>#VALUE!</v>
      </c>
      <c r="BQ15" t="e">
        <f>AND(ARTES!J6,"AAAAAD3//0Q=")</f>
        <v>#VALUE!</v>
      </c>
      <c r="BR15" t="e">
        <f>AND(ARTES!K6,"AAAAAD3//0U=")</f>
        <v>#VALUE!</v>
      </c>
      <c r="BS15" t="e">
        <f>AND(ARTES!L6,"AAAAAD3//0Y=")</f>
        <v>#VALUE!</v>
      </c>
      <c r="BT15">
        <f>IF(ARTES!7:7,"AAAAAD3//0c=",0)</f>
        <v>0</v>
      </c>
      <c r="BU15" t="e">
        <f>AND(ARTES!A7,"AAAAAD3//0g=")</f>
        <v>#VALUE!</v>
      </c>
      <c r="BV15" t="e">
        <f>AND(ARTES!B7,"AAAAAD3//0k=")</f>
        <v>#VALUE!</v>
      </c>
      <c r="BW15" t="e">
        <f>AND(ARTES!C7,"AAAAAD3//0o=")</f>
        <v>#VALUE!</v>
      </c>
      <c r="BX15" t="e">
        <f>AND(ARTES!D7,"AAAAAD3//0s=")</f>
        <v>#VALUE!</v>
      </c>
      <c r="BY15" t="e">
        <f>AND(ARTES!E7,"AAAAAD3//0w=")</f>
        <v>#VALUE!</v>
      </c>
      <c r="BZ15" t="e">
        <f>AND(ARTES!F7,"AAAAAD3//00=")</f>
        <v>#VALUE!</v>
      </c>
      <c r="CA15" t="e">
        <f>AND(ARTES!G7,"AAAAAD3//04=")</f>
        <v>#VALUE!</v>
      </c>
      <c r="CB15" t="e">
        <f>AND(ARTES!H7,"AAAAAD3//08=")</f>
        <v>#VALUE!</v>
      </c>
      <c r="CC15" t="e">
        <f>AND(ARTES!I7,"AAAAAD3//1A=")</f>
        <v>#VALUE!</v>
      </c>
      <c r="CD15" t="e">
        <f>AND(ARTES!J7,"AAAAAD3//1E=")</f>
        <v>#VALUE!</v>
      </c>
      <c r="CE15" t="e">
        <f>AND(ARTES!K7,"AAAAAD3//1I=")</f>
        <v>#VALUE!</v>
      </c>
      <c r="CF15" t="e">
        <f>AND(ARTES!L7,"AAAAAD3//1M=")</f>
        <v>#VALUE!</v>
      </c>
      <c r="CG15">
        <f>IF(ARTES!8:8,"AAAAAD3//1Q=",0)</f>
        <v>0</v>
      </c>
      <c r="CH15" t="e">
        <f>AND(ARTES!A8,"AAAAAD3//1U=")</f>
        <v>#VALUE!</v>
      </c>
      <c r="CI15" t="e">
        <f>AND(ARTES!B8,"AAAAAD3//1Y=")</f>
        <v>#VALUE!</v>
      </c>
      <c r="CJ15" t="e">
        <f>AND(ARTES!C8,"AAAAAD3//1c=")</f>
        <v>#VALUE!</v>
      </c>
      <c r="CK15" t="e">
        <f>AND(ARTES!D8,"AAAAAD3//1g=")</f>
        <v>#VALUE!</v>
      </c>
      <c r="CL15" t="e">
        <f>AND(ARTES!E8,"AAAAAD3//1k=")</f>
        <v>#VALUE!</v>
      </c>
      <c r="CM15" t="e">
        <f>AND(ARTES!F8,"AAAAAD3//1o=")</f>
        <v>#VALUE!</v>
      </c>
      <c r="CN15" t="e">
        <f>AND(ARTES!G8,"AAAAAD3//1s=")</f>
        <v>#VALUE!</v>
      </c>
      <c r="CO15" t="e">
        <f>AND(ARTES!H8,"AAAAAD3//1w=")</f>
        <v>#VALUE!</v>
      </c>
      <c r="CP15" t="e">
        <f>AND(ARTES!I8,"AAAAAD3//10=")</f>
        <v>#VALUE!</v>
      </c>
      <c r="CQ15" t="e">
        <f>AND(ARTES!J8,"AAAAAD3//14=")</f>
        <v>#VALUE!</v>
      </c>
      <c r="CR15" t="e">
        <f>AND(ARTES!K8,"AAAAAD3//18=")</f>
        <v>#VALUE!</v>
      </c>
      <c r="CS15" t="e">
        <f>AND(ARTES!L8,"AAAAAD3//2A=")</f>
        <v>#VALUE!</v>
      </c>
      <c r="CT15">
        <f>IF(ARTES!9:9,"AAAAAD3//2E=",0)</f>
        <v>0</v>
      </c>
      <c r="CU15" t="e">
        <f>AND(ARTES!A9,"AAAAAD3//2I=")</f>
        <v>#VALUE!</v>
      </c>
      <c r="CV15" t="e">
        <f>AND(ARTES!B9,"AAAAAD3//2M=")</f>
        <v>#VALUE!</v>
      </c>
      <c r="CW15" t="e">
        <f>AND(ARTES!C9,"AAAAAD3//2Q=")</f>
        <v>#VALUE!</v>
      </c>
      <c r="CX15" t="e">
        <f>AND(ARTES!D9,"AAAAAD3//2U=")</f>
        <v>#VALUE!</v>
      </c>
      <c r="CY15" t="e">
        <f>AND(ARTES!E9,"AAAAAD3//2Y=")</f>
        <v>#VALUE!</v>
      </c>
      <c r="CZ15" t="e">
        <f>AND(ARTES!F9,"AAAAAD3//2c=")</f>
        <v>#VALUE!</v>
      </c>
      <c r="DA15" t="e">
        <f>AND(ARTES!G9,"AAAAAD3//2g=")</f>
        <v>#VALUE!</v>
      </c>
      <c r="DB15" t="e">
        <f>AND(ARTES!H9,"AAAAAD3//2k=")</f>
        <v>#VALUE!</v>
      </c>
      <c r="DC15" t="e">
        <f>AND(ARTES!I9,"AAAAAD3//2o=")</f>
        <v>#VALUE!</v>
      </c>
      <c r="DD15" t="e">
        <f>AND(ARTES!J9,"AAAAAD3//2s=")</f>
        <v>#VALUE!</v>
      </c>
      <c r="DE15" t="e">
        <f>AND(ARTES!K9,"AAAAAD3//2w=")</f>
        <v>#VALUE!</v>
      </c>
      <c r="DF15" t="e">
        <f>AND(ARTES!L9,"AAAAAD3//20=")</f>
        <v>#VALUE!</v>
      </c>
      <c r="DG15">
        <f>IF(ARTES!10:10,"AAAAAD3//24=",0)</f>
        <v>0</v>
      </c>
      <c r="DH15" t="e">
        <f>AND(ARTES!A10,"AAAAAD3//28=")</f>
        <v>#VALUE!</v>
      </c>
      <c r="DI15" t="e">
        <f>AND(ARTES!B10,"AAAAAD3//3A=")</f>
        <v>#VALUE!</v>
      </c>
      <c r="DJ15" t="e">
        <f>AND(ARTES!C10,"AAAAAD3//3E=")</f>
        <v>#VALUE!</v>
      </c>
      <c r="DK15" t="e">
        <f>AND(ARTES!D10,"AAAAAD3//3I=")</f>
        <v>#VALUE!</v>
      </c>
      <c r="DL15" t="e">
        <f>AND(ARTES!E10,"AAAAAD3//3M=")</f>
        <v>#VALUE!</v>
      </c>
      <c r="DM15" t="e">
        <f>AND(ARTES!F10,"AAAAAD3//3Q=")</f>
        <v>#VALUE!</v>
      </c>
      <c r="DN15" t="e">
        <f>AND(ARTES!G10,"AAAAAD3//3U=")</f>
        <v>#VALUE!</v>
      </c>
      <c r="DO15" t="e">
        <f>AND(ARTES!H10,"AAAAAD3//3Y=")</f>
        <v>#VALUE!</v>
      </c>
      <c r="DP15" t="e">
        <f>AND(ARTES!I10,"AAAAAD3//3c=")</f>
        <v>#VALUE!</v>
      </c>
      <c r="DQ15" t="e">
        <f>AND(ARTES!J10,"AAAAAD3//3g=")</f>
        <v>#VALUE!</v>
      </c>
      <c r="DR15" t="e">
        <f>AND(ARTES!K10,"AAAAAD3//3k=")</f>
        <v>#VALUE!</v>
      </c>
      <c r="DS15" t="e">
        <f>AND(ARTES!L10,"AAAAAD3//3o=")</f>
        <v>#VALUE!</v>
      </c>
      <c r="DT15">
        <f>IF(ARTES!11:11,"AAAAAD3//3s=",0)</f>
        <v>0</v>
      </c>
      <c r="DU15" t="e">
        <f>AND(ARTES!A11,"AAAAAD3//3w=")</f>
        <v>#VALUE!</v>
      </c>
      <c r="DV15" t="e">
        <f>AND(ARTES!B11,"AAAAAD3//30=")</f>
        <v>#VALUE!</v>
      </c>
      <c r="DW15" t="e">
        <f>AND(ARTES!C11,"AAAAAD3//34=")</f>
        <v>#VALUE!</v>
      </c>
      <c r="DX15" t="e">
        <f>AND(ARTES!D11,"AAAAAD3//38=")</f>
        <v>#VALUE!</v>
      </c>
      <c r="DY15" t="e">
        <f>AND(ARTES!E11,"AAAAAD3//4A=")</f>
        <v>#VALUE!</v>
      </c>
      <c r="DZ15" t="e">
        <f>AND(ARTES!F11,"AAAAAD3//4E=")</f>
        <v>#VALUE!</v>
      </c>
      <c r="EA15" t="e">
        <f>AND(ARTES!G11,"AAAAAD3//4I=")</f>
        <v>#VALUE!</v>
      </c>
      <c r="EB15" t="e">
        <f>AND(ARTES!H11,"AAAAAD3//4M=")</f>
        <v>#VALUE!</v>
      </c>
      <c r="EC15" t="e">
        <f>AND(ARTES!I11,"AAAAAD3//4Q=")</f>
        <v>#VALUE!</v>
      </c>
      <c r="ED15" t="e">
        <f>AND(ARTES!J11,"AAAAAD3//4U=")</f>
        <v>#VALUE!</v>
      </c>
      <c r="EE15" t="e">
        <f>AND(ARTES!K11,"AAAAAD3//4Y=")</f>
        <v>#VALUE!</v>
      </c>
      <c r="EF15" t="e">
        <f>AND(ARTES!L11,"AAAAAD3//4c=")</f>
        <v>#VALUE!</v>
      </c>
      <c r="EG15">
        <f>IF(ARTES!12:12,"AAAAAD3//4g=",0)</f>
        <v>0</v>
      </c>
      <c r="EH15" t="e">
        <f>AND(ARTES!A12,"AAAAAD3//4k=")</f>
        <v>#VALUE!</v>
      </c>
      <c r="EI15" t="e">
        <f>AND(ARTES!B12,"AAAAAD3//4o=")</f>
        <v>#VALUE!</v>
      </c>
      <c r="EJ15" t="e">
        <f>AND(ARTES!C12,"AAAAAD3//4s=")</f>
        <v>#VALUE!</v>
      </c>
      <c r="EK15" t="e">
        <f>AND(ARTES!D12,"AAAAAD3//4w=")</f>
        <v>#VALUE!</v>
      </c>
      <c r="EL15" t="e">
        <f>AND(ARTES!E12,"AAAAAD3//40=")</f>
        <v>#VALUE!</v>
      </c>
      <c r="EM15" t="e">
        <f>AND(ARTES!F12,"AAAAAD3//44=")</f>
        <v>#VALUE!</v>
      </c>
      <c r="EN15" t="e">
        <f>AND(ARTES!G12,"AAAAAD3//48=")</f>
        <v>#VALUE!</v>
      </c>
      <c r="EO15" t="e">
        <f>AND(ARTES!H12,"AAAAAD3//5A=")</f>
        <v>#VALUE!</v>
      </c>
      <c r="EP15" t="e">
        <f>AND(ARTES!I12,"AAAAAD3//5E=")</f>
        <v>#VALUE!</v>
      </c>
      <c r="EQ15" t="e">
        <f>AND(ARTES!J12,"AAAAAD3//5I=")</f>
        <v>#VALUE!</v>
      </c>
      <c r="ER15" t="e">
        <f>AND(ARTES!K12,"AAAAAD3//5M=")</f>
        <v>#VALUE!</v>
      </c>
      <c r="ES15" t="e">
        <f>AND(ARTES!L12,"AAAAAD3//5Q=")</f>
        <v>#VALUE!</v>
      </c>
      <c r="ET15">
        <f>IF(ARTES!13:13,"AAAAAD3//5U=",0)</f>
        <v>0</v>
      </c>
      <c r="EU15" t="e">
        <f>AND(ARTES!A13,"AAAAAD3//5Y=")</f>
        <v>#VALUE!</v>
      </c>
      <c r="EV15" t="e">
        <f>AND(ARTES!B13,"AAAAAD3//5c=")</f>
        <v>#VALUE!</v>
      </c>
      <c r="EW15" t="e">
        <f>AND(ARTES!C13,"AAAAAD3//5g=")</f>
        <v>#VALUE!</v>
      </c>
      <c r="EX15" t="e">
        <f>AND(ARTES!D13,"AAAAAD3//5k=")</f>
        <v>#VALUE!</v>
      </c>
      <c r="EY15" t="e">
        <f>AND(ARTES!E13,"AAAAAD3//5o=")</f>
        <v>#VALUE!</v>
      </c>
      <c r="EZ15" t="e">
        <f>AND(ARTES!F13,"AAAAAD3//5s=")</f>
        <v>#VALUE!</v>
      </c>
      <c r="FA15" t="e">
        <f>AND(ARTES!G13,"AAAAAD3//5w=")</f>
        <v>#VALUE!</v>
      </c>
      <c r="FB15" t="e">
        <f>AND(ARTES!H13,"AAAAAD3//50=")</f>
        <v>#VALUE!</v>
      </c>
      <c r="FC15" t="e">
        <f>AND(ARTES!I13,"AAAAAD3//54=")</f>
        <v>#VALUE!</v>
      </c>
      <c r="FD15" t="e">
        <f>AND(ARTES!J13,"AAAAAD3//58=")</f>
        <v>#VALUE!</v>
      </c>
      <c r="FE15" t="e">
        <f>AND(ARTES!K13,"AAAAAD3//6A=")</f>
        <v>#VALUE!</v>
      </c>
      <c r="FF15" t="e">
        <f>AND(ARTES!L13,"AAAAAD3//6E=")</f>
        <v>#VALUE!</v>
      </c>
      <c r="FG15">
        <f>IF(ARTES!14:14,"AAAAAD3//6I=",0)</f>
        <v>0</v>
      </c>
      <c r="FH15" t="e">
        <f>AND(ARTES!A14,"AAAAAD3//6M=")</f>
        <v>#VALUE!</v>
      </c>
      <c r="FI15" t="e">
        <f>AND(ARTES!B14,"AAAAAD3//6Q=")</f>
        <v>#VALUE!</v>
      </c>
      <c r="FJ15" t="e">
        <f>AND(ARTES!C14,"AAAAAD3//6U=")</f>
        <v>#VALUE!</v>
      </c>
      <c r="FK15" t="e">
        <f>AND(ARTES!D14,"AAAAAD3//6Y=")</f>
        <v>#VALUE!</v>
      </c>
      <c r="FL15" t="e">
        <f>AND(ARTES!E14,"AAAAAD3//6c=")</f>
        <v>#VALUE!</v>
      </c>
      <c r="FM15" t="e">
        <f>AND(ARTES!F14,"AAAAAD3//6g=")</f>
        <v>#VALUE!</v>
      </c>
      <c r="FN15" t="e">
        <f>AND(ARTES!G14,"AAAAAD3//6k=")</f>
        <v>#VALUE!</v>
      </c>
      <c r="FO15" t="e">
        <f>AND(ARTES!H14,"AAAAAD3//6o=")</f>
        <v>#VALUE!</v>
      </c>
      <c r="FP15" t="e">
        <f>AND(ARTES!I14,"AAAAAD3//6s=")</f>
        <v>#VALUE!</v>
      </c>
      <c r="FQ15" t="e">
        <f>AND(ARTES!J14,"AAAAAD3//6w=")</f>
        <v>#VALUE!</v>
      </c>
      <c r="FR15" t="e">
        <f>AND(ARTES!K14,"AAAAAD3//60=")</f>
        <v>#VALUE!</v>
      </c>
      <c r="FS15" t="e">
        <f>AND(ARTES!L14,"AAAAAD3//64=")</f>
        <v>#VALUE!</v>
      </c>
      <c r="FT15">
        <f>IF(ARTES!15:15,"AAAAAD3//68=",0)</f>
        <v>0</v>
      </c>
      <c r="FU15" t="e">
        <f>AND(ARTES!A15,"AAAAAD3//7A=")</f>
        <v>#VALUE!</v>
      </c>
      <c r="FV15" t="e">
        <f>AND(ARTES!B15,"AAAAAD3//7E=")</f>
        <v>#VALUE!</v>
      </c>
      <c r="FW15" t="e">
        <f>AND(ARTES!C15,"AAAAAD3//7I=")</f>
        <v>#VALUE!</v>
      </c>
      <c r="FX15" t="e">
        <f>AND(ARTES!D15,"AAAAAD3//7M=")</f>
        <v>#VALUE!</v>
      </c>
      <c r="FY15" t="e">
        <f>AND(ARTES!E15,"AAAAAD3//7Q=")</f>
        <v>#VALUE!</v>
      </c>
      <c r="FZ15" t="e">
        <f>AND(ARTES!F15,"AAAAAD3//7U=")</f>
        <v>#VALUE!</v>
      </c>
      <c r="GA15" t="e">
        <f>AND(ARTES!G15,"AAAAAD3//7Y=")</f>
        <v>#VALUE!</v>
      </c>
      <c r="GB15" t="e">
        <f>AND(ARTES!H15,"AAAAAD3//7c=")</f>
        <v>#VALUE!</v>
      </c>
      <c r="GC15" t="e">
        <f>AND(ARTES!I15,"AAAAAD3//7g=")</f>
        <v>#VALUE!</v>
      </c>
      <c r="GD15" t="e">
        <f>AND(ARTES!J15,"AAAAAD3//7k=")</f>
        <v>#VALUE!</v>
      </c>
      <c r="GE15" t="e">
        <f>AND(ARTES!K15,"AAAAAD3//7o=")</f>
        <v>#VALUE!</v>
      </c>
      <c r="GF15" t="e">
        <f>AND(ARTES!L15,"AAAAAD3//7s=")</f>
        <v>#VALUE!</v>
      </c>
      <c r="GG15">
        <f>IF(ARTES!16:16,"AAAAAD3//7w=",0)</f>
        <v>0</v>
      </c>
      <c r="GH15" t="e">
        <f>AND(ARTES!A16,"AAAAAD3//70=")</f>
        <v>#VALUE!</v>
      </c>
      <c r="GI15" t="e">
        <f>AND(ARTES!B16,"AAAAAD3//74=")</f>
        <v>#VALUE!</v>
      </c>
      <c r="GJ15" t="e">
        <f>AND(ARTES!C16,"AAAAAD3//78=")</f>
        <v>#VALUE!</v>
      </c>
      <c r="GK15" t="e">
        <f>AND(ARTES!D16,"AAAAAD3//8A=")</f>
        <v>#VALUE!</v>
      </c>
      <c r="GL15" t="e">
        <f>AND(ARTES!E16,"AAAAAD3//8E=")</f>
        <v>#VALUE!</v>
      </c>
      <c r="GM15" t="e">
        <f>AND(ARTES!F16,"AAAAAD3//8I=")</f>
        <v>#VALUE!</v>
      </c>
      <c r="GN15" t="e">
        <f>AND(ARTES!G16,"AAAAAD3//8M=")</f>
        <v>#VALUE!</v>
      </c>
      <c r="GO15" t="e">
        <f>AND(ARTES!H16,"AAAAAD3//8Q=")</f>
        <v>#VALUE!</v>
      </c>
      <c r="GP15" t="e">
        <f>AND(ARTES!I16,"AAAAAD3//8U=")</f>
        <v>#VALUE!</v>
      </c>
      <c r="GQ15" t="e">
        <f>AND(ARTES!J16,"AAAAAD3//8Y=")</f>
        <v>#VALUE!</v>
      </c>
      <c r="GR15" t="e">
        <f>AND(ARTES!K16,"AAAAAD3//8c=")</f>
        <v>#VALUE!</v>
      </c>
      <c r="GS15" t="e">
        <f>AND(ARTES!L16,"AAAAAD3//8g=")</f>
        <v>#VALUE!</v>
      </c>
      <c r="GT15">
        <f>IF(ARTES!17:17,"AAAAAD3//8k=",0)</f>
        <v>0</v>
      </c>
      <c r="GU15" t="e">
        <f>AND(ARTES!A17,"AAAAAD3//8o=")</f>
        <v>#VALUE!</v>
      </c>
      <c r="GV15" t="e">
        <f>AND(ARTES!B17,"AAAAAD3//8s=")</f>
        <v>#VALUE!</v>
      </c>
      <c r="GW15" t="e">
        <f>AND(ARTES!C17,"AAAAAD3//8w=")</f>
        <v>#VALUE!</v>
      </c>
      <c r="GX15" t="e">
        <f>AND(ARTES!D17,"AAAAAD3//80=")</f>
        <v>#VALUE!</v>
      </c>
      <c r="GY15" t="e">
        <f>AND(ARTES!E17,"AAAAAD3//84=")</f>
        <v>#VALUE!</v>
      </c>
      <c r="GZ15" t="e">
        <f>AND(ARTES!F17,"AAAAAD3//88=")</f>
        <v>#VALUE!</v>
      </c>
      <c r="HA15" t="e">
        <f>AND(ARTES!G17,"AAAAAD3//9A=")</f>
        <v>#VALUE!</v>
      </c>
      <c r="HB15" t="e">
        <f>AND(ARTES!H17,"AAAAAD3//9E=")</f>
        <v>#VALUE!</v>
      </c>
      <c r="HC15" t="e">
        <f>AND(ARTES!I17,"AAAAAD3//9I=")</f>
        <v>#VALUE!</v>
      </c>
      <c r="HD15" t="e">
        <f>AND(ARTES!J17,"AAAAAD3//9M=")</f>
        <v>#VALUE!</v>
      </c>
      <c r="HE15" t="e">
        <f>AND(ARTES!K17,"AAAAAD3//9Q=")</f>
        <v>#VALUE!</v>
      </c>
      <c r="HF15" t="e">
        <f>AND(ARTES!L17,"AAAAAD3//9U=")</f>
        <v>#VALUE!</v>
      </c>
      <c r="HG15">
        <f>IF(ARTES!18:18,"AAAAAD3//9Y=",0)</f>
        <v>0</v>
      </c>
      <c r="HH15" t="e">
        <f>AND(ARTES!A18,"AAAAAD3//9c=")</f>
        <v>#VALUE!</v>
      </c>
      <c r="HI15" t="e">
        <f>AND(ARTES!B18,"AAAAAD3//9g=")</f>
        <v>#VALUE!</v>
      </c>
      <c r="HJ15" t="e">
        <f>AND(ARTES!C18,"AAAAAD3//9k=")</f>
        <v>#VALUE!</v>
      </c>
      <c r="HK15" t="e">
        <f>AND(ARTES!D18,"AAAAAD3//9o=")</f>
        <v>#VALUE!</v>
      </c>
      <c r="HL15" t="e">
        <f>AND(ARTES!E18,"AAAAAD3//9s=")</f>
        <v>#VALUE!</v>
      </c>
      <c r="HM15" t="e">
        <f>AND(ARTES!F18,"AAAAAD3//9w=")</f>
        <v>#VALUE!</v>
      </c>
      <c r="HN15" t="e">
        <f>AND(ARTES!G18,"AAAAAD3//90=")</f>
        <v>#VALUE!</v>
      </c>
      <c r="HO15" t="e">
        <f>AND(ARTES!H18,"AAAAAD3//94=")</f>
        <v>#VALUE!</v>
      </c>
      <c r="HP15" t="e">
        <f>AND(ARTES!I18,"AAAAAD3//98=")</f>
        <v>#VALUE!</v>
      </c>
      <c r="HQ15" t="e">
        <f>AND(ARTES!J18,"AAAAAD3//+A=")</f>
        <v>#VALUE!</v>
      </c>
      <c r="HR15" t="e">
        <f>AND(ARTES!K18,"AAAAAD3//+E=")</f>
        <v>#VALUE!</v>
      </c>
      <c r="HS15" t="e">
        <f>AND(ARTES!L18,"AAAAAD3//+I=")</f>
        <v>#VALUE!</v>
      </c>
      <c r="HT15">
        <f>IF(ARTES!19:19,"AAAAAD3//+M=",0)</f>
        <v>0</v>
      </c>
      <c r="HU15" t="e">
        <f>AND(ARTES!A19,"AAAAAD3//+Q=")</f>
        <v>#VALUE!</v>
      </c>
      <c r="HV15" t="e">
        <f>AND(ARTES!B19,"AAAAAD3//+U=")</f>
        <v>#VALUE!</v>
      </c>
      <c r="HW15" t="e">
        <f>AND(ARTES!C19,"AAAAAD3//+Y=")</f>
        <v>#VALUE!</v>
      </c>
      <c r="HX15" t="e">
        <f>AND(ARTES!D19,"AAAAAD3//+c=")</f>
        <v>#VALUE!</v>
      </c>
      <c r="HY15" t="e">
        <f>AND(ARTES!E19,"AAAAAD3//+g=")</f>
        <v>#VALUE!</v>
      </c>
      <c r="HZ15" t="e">
        <f>AND(ARTES!F19,"AAAAAD3//+k=")</f>
        <v>#VALUE!</v>
      </c>
      <c r="IA15" t="e">
        <f>AND(ARTES!G19,"AAAAAD3//+o=")</f>
        <v>#VALUE!</v>
      </c>
      <c r="IB15" t="e">
        <f>AND(ARTES!H19,"AAAAAD3//+s=")</f>
        <v>#VALUE!</v>
      </c>
      <c r="IC15" t="e">
        <f>AND(ARTES!I19,"AAAAAD3//+w=")</f>
        <v>#VALUE!</v>
      </c>
      <c r="ID15" t="e">
        <f>AND(ARTES!J19,"AAAAAD3//+0=")</f>
        <v>#VALUE!</v>
      </c>
      <c r="IE15" t="e">
        <f>AND(ARTES!K19,"AAAAAD3//+4=")</f>
        <v>#VALUE!</v>
      </c>
      <c r="IF15" t="e">
        <f>AND(ARTES!L19,"AAAAAD3//+8=")</f>
        <v>#VALUE!</v>
      </c>
      <c r="IG15">
        <f>IF(ARTES!20:20,"AAAAAD3///A=",0)</f>
        <v>0</v>
      </c>
      <c r="IH15" t="e">
        <f>AND(ARTES!A20,"AAAAAD3///E=")</f>
        <v>#VALUE!</v>
      </c>
      <c r="II15" t="e">
        <f>AND(ARTES!B20,"AAAAAD3///I=")</f>
        <v>#VALUE!</v>
      </c>
      <c r="IJ15" t="e">
        <f>AND(ARTES!C20,"AAAAAD3///M=")</f>
        <v>#VALUE!</v>
      </c>
      <c r="IK15" t="e">
        <f>AND(ARTES!D20,"AAAAAD3///Q=")</f>
        <v>#VALUE!</v>
      </c>
      <c r="IL15" t="e">
        <f>AND(ARTES!E20,"AAAAAD3///U=")</f>
        <v>#VALUE!</v>
      </c>
      <c r="IM15" t="e">
        <f>AND(ARTES!F20,"AAAAAD3///Y=")</f>
        <v>#VALUE!</v>
      </c>
      <c r="IN15" t="e">
        <f>AND(ARTES!G20,"AAAAAD3///c=")</f>
        <v>#VALUE!</v>
      </c>
      <c r="IO15" t="e">
        <f>AND(ARTES!H20,"AAAAAD3///g=")</f>
        <v>#VALUE!</v>
      </c>
      <c r="IP15" t="e">
        <f>AND(ARTES!I20,"AAAAAD3///k=")</f>
        <v>#VALUE!</v>
      </c>
      <c r="IQ15" t="e">
        <f>AND(ARTES!J20,"AAAAAD3///o=")</f>
        <v>#VALUE!</v>
      </c>
      <c r="IR15" t="e">
        <f>AND(ARTES!K20,"AAAAAD3///s=")</f>
        <v>#VALUE!</v>
      </c>
      <c r="IS15" t="e">
        <f>AND(ARTES!L20,"AAAAAD3///w=")</f>
        <v>#VALUE!</v>
      </c>
      <c r="IT15">
        <f>IF(ARTES!21:21,"AAAAAD3///0=",0)</f>
        <v>0</v>
      </c>
      <c r="IU15" t="e">
        <f>AND(ARTES!A21,"AAAAAD3///4=")</f>
        <v>#VALUE!</v>
      </c>
      <c r="IV15" t="e">
        <f>AND(ARTES!B21,"AAAAAD3///8=")</f>
        <v>#VALUE!</v>
      </c>
    </row>
    <row r="16" spans="1:256">
      <c r="A16" t="e">
        <f>AND(ARTES!C21,"AAAAAH3fZgA=")</f>
        <v>#VALUE!</v>
      </c>
      <c r="B16" t="e">
        <f>AND(ARTES!D21,"AAAAAH3fZgE=")</f>
        <v>#VALUE!</v>
      </c>
      <c r="C16" t="e">
        <f>AND(ARTES!E21,"AAAAAH3fZgI=")</f>
        <v>#VALUE!</v>
      </c>
      <c r="D16" t="e">
        <f>AND(ARTES!F21,"AAAAAH3fZgM=")</f>
        <v>#VALUE!</v>
      </c>
      <c r="E16" t="e">
        <f>AND(ARTES!G21,"AAAAAH3fZgQ=")</f>
        <v>#VALUE!</v>
      </c>
      <c r="F16" t="e">
        <f>AND(ARTES!H21,"AAAAAH3fZgU=")</f>
        <v>#VALUE!</v>
      </c>
      <c r="G16" t="e">
        <f>AND(ARTES!I21,"AAAAAH3fZgY=")</f>
        <v>#VALUE!</v>
      </c>
      <c r="H16" t="e">
        <f>AND(ARTES!J21,"AAAAAH3fZgc=")</f>
        <v>#VALUE!</v>
      </c>
      <c r="I16" t="e">
        <f>AND(ARTES!K21,"AAAAAH3fZgg=")</f>
        <v>#VALUE!</v>
      </c>
      <c r="J16" t="e">
        <f>AND(ARTES!L21,"AAAAAH3fZgk=")</f>
        <v>#VALUE!</v>
      </c>
      <c r="K16">
        <f>IF(ARTES!22:22,"AAAAAH3fZgo=",0)</f>
        <v>0</v>
      </c>
      <c r="L16" t="e">
        <f>AND(ARTES!A22,"AAAAAH3fZgs=")</f>
        <v>#VALUE!</v>
      </c>
      <c r="M16" t="e">
        <f>AND(ARTES!B22,"AAAAAH3fZgw=")</f>
        <v>#VALUE!</v>
      </c>
      <c r="N16" t="e">
        <f>AND(ARTES!C22,"AAAAAH3fZg0=")</f>
        <v>#VALUE!</v>
      </c>
      <c r="O16" t="e">
        <f>AND(ARTES!D22,"AAAAAH3fZg4=")</f>
        <v>#VALUE!</v>
      </c>
      <c r="P16" t="e">
        <f>AND(ARTES!E22,"AAAAAH3fZg8=")</f>
        <v>#VALUE!</v>
      </c>
      <c r="Q16" t="e">
        <f>AND(ARTES!F22,"AAAAAH3fZhA=")</f>
        <v>#VALUE!</v>
      </c>
      <c r="R16" t="e">
        <f>AND(ARTES!G22,"AAAAAH3fZhE=")</f>
        <v>#VALUE!</v>
      </c>
      <c r="S16" t="e">
        <f>AND(ARTES!H22,"AAAAAH3fZhI=")</f>
        <v>#VALUE!</v>
      </c>
      <c r="T16" t="e">
        <f>AND(ARTES!I22,"AAAAAH3fZhM=")</f>
        <v>#VALUE!</v>
      </c>
      <c r="U16" t="e">
        <f>AND(ARTES!J22,"AAAAAH3fZhQ=")</f>
        <v>#VALUE!</v>
      </c>
      <c r="V16" t="e">
        <f>AND(ARTES!K22,"AAAAAH3fZhU=")</f>
        <v>#VALUE!</v>
      </c>
      <c r="W16" t="e">
        <f>AND(ARTES!L22,"AAAAAH3fZhY=")</f>
        <v>#VALUE!</v>
      </c>
      <c r="X16">
        <f>IF(ARTES!23:23,"AAAAAH3fZhc=",0)</f>
        <v>0</v>
      </c>
      <c r="Y16" t="e">
        <f>AND(ARTES!A23,"AAAAAH3fZhg=")</f>
        <v>#VALUE!</v>
      </c>
      <c r="Z16" t="e">
        <f>AND(ARTES!B23,"AAAAAH3fZhk=")</f>
        <v>#VALUE!</v>
      </c>
      <c r="AA16" t="e">
        <f>AND(ARTES!C23,"AAAAAH3fZho=")</f>
        <v>#VALUE!</v>
      </c>
      <c r="AB16" t="e">
        <f>AND(ARTES!D23,"AAAAAH3fZhs=")</f>
        <v>#VALUE!</v>
      </c>
      <c r="AC16" t="e">
        <f>AND(ARTES!E23,"AAAAAH3fZhw=")</f>
        <v>#VALUE!</v>
      </c>
      <c r="AD16" t="e">
        <f>AND(ARTES!F23,"AAAAAH3fZh0=")</f>
        <v>#VALUE!</v>
      </c>
      <c r="AE16" t="e">
        <f>AND(ARTES!G23,"AAAAAH3fZh4=")</f>
        <v>#VALUE!</v>
      </c>
      <c r="AF16" t="e">
        <f>AND(ARTES!H23,"AAAAAH3fZh8=")</f>
        <v>#VALUE!</v>
      </c>
      <c r="AG16" t="e">
        <f>AND(ARTES!I23,"AAAAAH3fZiA=")</f>
        <v>#VALUE!</v>
      </c>
      <c r="AH16" t="e">
        <f>AND(ARTES!J23,"AAAAAH3fZiE=")</f>
        <v>#VALUE!</v>
      </c>
      <c r="AI16" t="e">
        <f>AND(ARTES!K23,"AAAAAH3fZiI=")</f>
        <v>#VALUE!</v>
      </c>
      <c r="AJ16" t="e">
        <f>AND(ARTES!L23,"AAAAAH3fZiM=")</f>
        <v>#VALUE!</v>
      </c>
      <c r="AK16">
        <f>IF(ARTES!24:24,"AAAAAH3fZiQ=",0)</f>
        <v>0</v>
      </c>
      <c r="AL16" t="e">
        <f>AND(ARTES!A24,"AAAAAH3fZiU=")</f>
        <v>#VALUE!</v>
      </c>
      <c r="AM16" t="e">
        <f>AND(ARTES!B24,"AAAAAH3fZiY=")</f>
        <v>#VALUE!</v>
      </c>
      <c r="AN16" t="e">
        <f>AND(ARTES!C24,"AAAAAH3fZic=")</f>
        <v>#VALUE!</v>
      </c>
      <c r="AO16" t="e">
        <f>AND(ARTES!D24,"AAAAAH3fZig=")</f>
        <v>#VALUE!</v>
      </c>
      <c r="AP16" t="e">
        <f>AND(ARTES!E24,"AAAAAH3fZik=")</f>
        <v>#VALUE!</v>
      </c>
      <c r="AQ16" t="e">
        <f>AND(ARTES!F24,"AAAAAH3fZio=")</f>
        <v>#VALUE!</v>
      </c>
      <c r="AR16" t="e">
        <f>AND(ARTES!G24,"AAAAAH3fZis=")</f>
        <v>#VALUE!</v>
      </c>
      <c r="AS16" t="e">
        <f>AND(ARTES!H24,"AAAAAH3fZiw=")</f>
        <v>#VALUE!</v>
      </c>
      <c r="AT16" t="e">
        <f>AND(ARTES!I24,"AAAAAH3fZi0=")</f>
        <v>#VALUE!</v>
      </c>
      <c r="AU16" t="e">
        <f>AND(ARTES!J24,"AAAAAH3fZi4=")</f>
        <v>#VALUE!</v>
      </c>
      <c r="AV16" t="e">
        <f>AND(ARTES!K24,"AAAAAH3fZi8=")</f>
        <v>#VALUE!</v>
      </c>
      <c r="AW16" t="e">
        <f>AND(ARTES!L24,"AAAAAH3fZjA=")</f>
        <v>#VALUE!</v>
      </c>
      <c r="AX16">
        <f>IF(ARTES!25:25,"AAAAAH3fZjE=",0)</f>
        <v>0</v>
      </c>
      <c r="AY16" t="e">
        <f>AND(ARTES!A25,"AAAAAH3fZjI=")</f>
        <v>#VALUE!</v>
      </c>
      <c r="AZ16" t="e">
        <f>AND(ARTES!B25,"AAAAAH3fZjM=")</f>
        <v>#VALUE!</v>
      </c>
      <c r="BA16" t="e">
        <f>AND(ARTES!C25,"AAAAAH3fZjQ=")</f>
        <v>#VALUE!</v>
      </c>
      <c r="BB16" t="e">
        <f>AND(ARTES!D25,"AAAAAH3fZjU=")</f>
        <v>#VALUE!</v>
      </c>
      <c r="BC16" t="e">
        <f>AND(ARTES!E25,"AAAAAH3fZjY=")</f>
        <v>#VALUE!</v>
      </c>
      <c r="BD16" t="e">
        <f>AND(ARTES!F25,"AAAAAH3fZjc=")</f>
        <v>#VALUE!</v>
      </c>
      <c r="BE16" t="e">
        <f>AND(ARTES!G25,"AAAAAH3fZjg=")</f>
        <v>#VALUE!</v>
      </c>
      <c r="BF16" t="e">
        <f>AND(ARTES!H25,"AAAAAH3fZjk=")</f>
        <v>#VALUE!</v>
      </c>
      <c r="BG16" t="e">
        <f>AND(ARTES!I25,"AAAAAH3fZjo=")</f>
        <v>#VALUE!</v>
      </c>
      <c r="BH16" t="e">
        <f>AND(ARTES!J25,"AAAAAH3fZjs=")</f>
        <v>#VALUE!</v>
      </c>
      <c r="BI16" t="e">
        <f>AND(ARTES!K25,"AAAAAH3fZjw=")</f>
        <v>#VALUE!</v>
      </c>
      <c r="BJ16" t="e">
        <f>AND(ARTES!L25,"AAAAAH3fZj0=")</f>
        <v>#VALUE!</v>
      </c>
      <c r="BK16">
        <f>IF(ARTES!26:26,"AAAAAH3fZj4=",0)</f>
        <v>0</v>
      </c>
      <c r="BL16" t="e">
        <f>AND(ARTES!A26,"AAAAAH3fZj8=")</f>
        <v>#VALUE!</v>
      </c>
      <c r="BM16" t="e">
        <f>AND(ARTES!B26,"AAAAAH3fZkA=")</f>
        <v>#VALUE!</v>
      </c>
      <c r="BN16" t="e">
        <f>AND(ARTES!C26,"AAAAAH3fZkE=")</f>
        <v>#VALUE!</v>
      </c>
      <c r="BO16" t="e">
        <f>AND(ARTES!D26,"AAAAAH3fZkI=")</f>
        <v>#VALUE!</v>
      </c>
      <c r="BP16" t="e">
        <f>AND(ARTES!E26,"AAAAAH3fZkM=")</f>
        <v>#VALUE!</v>
      </c>
      <c r="BQ16" t="e">
        <f>AND(ARTES!F26,"AAAAAH3fZkQ=")</f>
        <v>#VALUE!</v>
      </c>
      <c r="BR16" t="e">
        <f>AND(ARTES!G26,"AAAAAH3fZkU=")</f>
        <v>#VALUE!</v>
      </c>
      <c r="BS16" t="e">
        <f>AND(ARTES!H26,"AAAAAH3fZkY=")</f>
        <v>#VALUE!</v>
      </c>
      <c r="BT16" t="e">
        <f>AND(ARTES!I26,"AAAAAH3fZkc=")</f>
        <v>#VALUE!</v>
      </c>
      <c r="BU16" t="e">
        <f>AND(ARTES!J26,"AAAAAH3fZkg=")</f>
        <v>#VALUE!</v>
      </c>
      <c r="BV16" t="e">
        <f>AND(ARTES!K26,"AAAAAH3fZkk=")</f>
        <v>#VALUE!</v>
      </c>
      <c r="BW16" t="e">
        <f>AND(ARTES!L26,"AAAAAH3fZko=")</f>
        <v>#VALUE!</v>
      </c>
      <c r="BX16">
        <f>IF(ARTES!27:27,"AAAAAH3fZks=",0)</f>
        <v>0</v>
      </c>
      <c r="BY16" t="e">
        <f>AND(ARTES!A27,"AAAAAH3fZkw=")</f>
        <v>#VALUE!</v>
      </c>
      <c r="BZ16" t="e">
        <f>AND(ARTES!B27,"AAAAAH3fZk0=")</f>
        <v>#VALUE!</v>
      </c>
      <c r="CA16" t="e">
        <f>AND(ARTES!C27,"AAAAAH3fZk4=")</f>
        <v>#VALUE!</v>
      </c>
      <c r="CB16" t="e">
        <f>AND(ARTES!D27,"AAAAAH3fZk8=")</f>
        <v>#VALUE!</v>
      </c>
      <c r="CC16" t="e">
        <f>AND(ARTES!E27,"AAAAAH3fZlA=")</f>
        <v>#VALUE!</v>
      </c>
      <c r="CD16" t="e">
        <f>AND(ARTES!F27,"AAAAAH3fZlE=")</f>
        <v>#VALUE!</v>
      </c>
      <c r="CE16" t="e">
        <f>AND(ARTES!G27,"AAAAAH3fZlI=")</f>
        <v>#VALUE!</v>
      </c>
      <c r="CF16" t="e">
        <f>AND(ARTES!H27,"AAAAAH3fZlM=")</f>
        <v>#VALUE!</v>
      </c>
      <c r="CG16" t="e">
        <f>AND(ARTES!I27,"AAAAAH3fZlQ=")</f>
        <v>#VALUE!</v>
      </c>
      <c r="CH16" t="e">
        <f>AND(ARTES!J27,"AAAAAH3fZlU=")</f>
        <v>#VALUE!</v>
      </c>
      <c r="CI16" t="e">
        <f>AND(ARTES!K27,"AAAAAH3fZlY=")</f>
        <v>#VALUE!</v>
      </c>
      <c r="CJ16" t="e">
        <f>AND(ARTES!L27,"AAAAAH3fZlc=")</f>
        <v>#VALUE!</v>
      </c>
      <c r="CK16">
        <f>IF(ARTES!28:28,"AAAAAH3fZlg=",0)</f>
        <v>0</v>
      </c>
      <c r="CL16" t="e">
        <f>AND(ARTES!A28,"AAAAAH3fZlk=")</f>
        <v>#VALUE!</v>
      </c>
      <c r="CM16" t="e">
        <f>AND(ARTES!B28,"AAAAAH3fZlo=")</f>
        <v>#VALUE!</v>
      </c>
      <c r="CN16" t="e">
        <f>AND(ARTES!C28,"AAAAAH3fZls=")</f>
        <v>#VALUE!</v>
      </c>
      <c r="CO16" t="e">
        <f>AND(ARTES!D28,"AAAAAH3fZlw=")</f>
        <v>#VALUE!</v>
      </c>
      <c r="CP16" t="e">
        <f>AND(ARTES!E28,"AAAAAH3fZl0=")</f>
        <v>#VALUE!</v>
      </c>
      <c r="CQ16" t="e">
        <f>AND(ARTES!F28,"AAAAAH3fZl4=")</f>
        <v>#VALUE!</v>
      </c>
      <c r="CR16" t="e">
        <f>AND(ARTES!G28,"AAAAAH3fZl8=")</f>
        <v>#VALUE!</v>
      </c>
      <c r="CS16" t="e">
        <f>AND(ARTES!H28,"AAAAAH3fZmA=")</f>
        <v>#VALUE!</v>
      </c>
      <c r="CT16" t="e">
        <f>AND(ARTES!I28,"AAAAAH3fZmE=")</f>
        <v>#VALUE!</v>
      </c>
      <c r="CU16" t="e">
        <f>AND(ARTES!J28,"AAAAAH3fZmI=")</f>
        <v>#VALUE!</v>
      </c>
      <c r="CV16" t="e">
        <f>AND(ARTES!K28,"AAAAAH3fZmM=")</f>
        <v>#VALUE!</v>
      </c>
      <c r="CW16" t="e">
        <f>AND(ARTES!L28,"AAAAAH3fZmQ=")</f>
        <v>#VALUE!</v>
      </c>
      <c r="CX16">
        <f>IF(ARTES!29:29,"AAAAAH3fZmU=",0)</f>
        <v>0</v>
      </c>
      <c r="CY16" t="e">
        <f>AND(ARTES!A29,"AAAAAH3fZmY=")</f>
        <v>#VALUE!</v>
      </c>
      <c r="CZ16" t="e">
        <f>AND(ARTES!B29,"AAAAAH3fZmc=")</f>
        <v>#VALUE!</v>
      </c>
      <c r="DA16" t="e">
        <f>AND(ARTES!C29,"AAAAAH3fZmg=")</f>
        <v>#VALUE!</v>
      </c>
      <c r="DB16" t="e">
        <f>AND(ARTES!D29,"AAAAAH3fZmk=")</f>
        <v>#VALUE!</v>
      </c>
      <c r="DC16" t="e">
        <f>AND(ARTES!E29,"AAAAAH3fZmo=")</f>
        <v>#VALUE!</v>
      </c>
      <c r="DD16" t="e">
        <f>AND(ARTES!F29,"AAAAAH3fZms=")</f>
        <v>#VALUE!</v>
      </c>
      <c r="DE16" t="e">
        <f>AND(ARTES!G29,"AAAAAH3fZmw=")</f>
        <v>#VALUE!</v>
      </c>
      <c r="DF16" t="e">
        <f>AND(ARTES!H29,"AAAAAH3fZm0=")</f>
        <v>#VALUE!</v>
      </c>
      <c r="DG16" t="e">
        <f>AND(ARTES!I29,"AAAAAH3fZm4=")</f>
        <v>#VALUE!</v>
      </c>
      <c r="DH16" t="e">
        <f>AND(ARTES!J29,"AAAAAH3fZm8=")</f>
        <v>#VALUE!</v>
      </c>
      <c r="DI16" t="e">
        <f>AND(ARTES!K29,"AAAAAH3fZnA=")</f>
        <v>#VALUE!</v>
      </c>
      <c r="DJ16" t="e">
        <f>AND(ARTES!L29,"AAAAAH3fZnE=")</f>
        <v>#VALUE!</v>
      </c>
      <c r="DK16">
        <f>IF(ARTES!30:30,"AAAAAH3fZnI=",0)</f>
        <v>0</v>
      </c>
      <c r="DL16" t="e">
        <f>AND(ARTES!A30,"AAAAAH3fZnM=")</f>
        <v>#VALUE!</v>
      </c>
      <c r="DM16" t="e">
        <f>AND(ARTES!B30,"AAAAAH3fZnQ=")</f>
        <v>#VALUE!</v>
      </c>
      <c r="DN16" t="e">
        <f>AND(ARTES!C30,"AAAAAH3fZnU=")</f>
        <v>#VALUE!</v>
      </c>
      <c r="DO16" t="e">
        <f>AND(ARTES!D30,"AAAAAH3fZnY=")</f>
        <v>#VALUE!</v>
      </c>
      <c r="DP16" t="e">
        <f>AND(ARTES!E30,"AAAAAH3fZnc=")</f>
        <v>#VALUE!</v>
      </c>
      <c r="DQ16" t="e">
        <f>AND(ARTES!F30,"AAAAAH3fZng=")</f>
        <v>#VALUE!</v>
      </c>
      <c r="DR16" t="e">
        <f>AND(ARTES!G30,"AAAAAH3fZnk=")</f>
        <v>#VALUE!</v>
      </c>
      <c r="DS16" t="e">
        <f>AND(ARTES!H30,"AAAAAH3fZno=")</f>
        <v>#VALUE!</v>
      </c>
      <c r="DT16" t="e">
        <f>AND(ARTES!I30,"AAAAAH3fZns=")</f>
        <v>#VALUE!</v>
      </c>
      <c r="DU16" t="e">
        <f>AND(ARTES!J30,"AAAAAH3fZnw=")</f>
        <v>#VALUE!</v>
      </c>
      <c r="DV16" t="e">
        <f>AND(ARTES!K30,"AAAAAH3fZn0=")</f>
        <v>#VALUE!</v>
      </c>
      <c r="DW16" t="e">
        <f>AND(ARTES!L30,"AAAAAH3fZn4=")</f>
        <v>#VALUE!</v>
      </c>
      <c r="DX16">
        <f>IF(ARTES!31:31,"AAAAAH3fZn8=",0)</f>
        <v>0</v>
      </c>
      <c r="DY16" t="e">
        <f>AND(ARTES!A31,"AAAAAH3fZoA=")</f>
        <v>#VALUE!</v>
      </c>
      <c r="DZ16" t="e">
        <f>AND(ARTES!B31,"AAAAAH3fZoE=")</f>
        <v>#VALUE!</v>
      </c>
      <c r="EA16" t="e">
        <f>AND(ARTES!C31,"AAAAAH3fZoI=")</f>
        <v>#VALUE!</v>
      </c>
      <c r="EB16" t="e">
        <f>AND(ARTES!D31,"AAAAAH3fZoM=")</f>
        <v>#VALUE!</v>
      </c>
      <c r="EC16" t="e">
        <f>AND(ARTES!E31,"AAAAAH3fZoQ=")</f>
        <v>#VALUE!</v>
      </c>
      <c r="ED16" t="e">
        <f>AND(ARTES!F31,"AAAAAH3fZoU=")</f>
        <v>#VALUE!</v>
      </c>
      <c r="EE16" t="e">
        <f>AND(ARTES!G31,"AAAAAH3fZoY=")</f>
        <v>#VALUE!</v>
      </c>
      <c r="EF16" t="e">
        <f>AND(ARTES!H31,"AAAAAH3fZoc=")</f>
        <v>#VALUE!</v>
      </c>
      <c r="EG16" t="e">
        <f>AND(ARTES!I31,"AAAAAH3fZog=")</f>
        <v>#VALUE!</v>
      </c>
      <c r="EH16" t="e">
        <f>AND(ARTES!J31,"AAAAAH3fZok=")</f>
        <v>#VALUE!</v>
      </c>
      <c r="EI16" t="e">
        <f>AND(ARTES!K31,"AAAAAH3fZoo=")</f>
        <v>#VALUE!</v>
      </c>
      <c r="EJ16" t="e">
        <f>AND(ARTES!L31,"AAAAAH3fZos=")</f>
        <v>#VALUE!</v>
      </c>
      <c r="EK16">
        <f>IF(ARTES!32:32,"AAAAAH3fZow=",0)</f>
        <v>0</v>
      </c>
      <c r="EL16" t="e">
        <f>AND(ARTES!A32,"AAAAAH3fZo0=")</f>
        <v>#VALUE!</v>
      </c>
      <c r="EM16" t="e">
        <f>AND(ARTES!B32,"AAAAAH3fZo4=")</f>
        <v>#VALUE!</v>
      </c>
      <c r="EN16" t="e">
        <f>AND(ARTES!C32,"AAAAAH3fZo8=")</f>
        <v>#VALUE!</v>
      </c>
      <c r="EO16" t="e">
        <f>AND(ARTES!D32,"AAAAAH3fZpA=")</f>
        <v>#VALUE!</v>
      </c>
      <c r="EP16" t="e">
        <f>AND(ARTES!E32,"AAAAAH3fZpE=")</f>
        <v>#VALUE!</v>
      </c>
      <c r="EQ16" t="e">
        <f>AND(ARTES!F32,"AAAAAH3fZpI=")</f>
        <v>#VALUE!</v>
      </c>
      <c r="ER16" t="e">
        <f>AND(ARTES!G32,"AAAAAH3fZpM=")</f>
        <v>#VALUE!</v>
      </c>
      <c r="ES16" t="e">
        <f>AND(ARTES!H32,"AAAAAH3fZpQ=")</f>
        <v>#VALUE!</v>
      </c>
      <c r="ET16" t="e">
        <f>AND(ARTES!I32,"AAAAAH3fZpU=")</f>
        <v>#VALUE!</v>
      </c>
      <c r="EU16" t="e">
        <f>AND(ARTES!J32,"AAAAAH3fZpY=")</f>
        <v>#VALUE!</v>
      </c>
      <c r="EV16" t="e">
        <f>AND(ARTES!K32,"AAAAAH3fZpc=")</f>
        <v>#VALUE!</v>
      </c>
      <c r="EW16" t="e">
        <f>AND(ARTES!L32,"AAAAAH3fZpg=")</f>
        <v>#VALUE!</v>
      </c>
      <c r="EX16">
        <f>IF(ARTES!33:33,"AAAAAH3fZpk=",0)</f>
        <v>0</v>
      </c>
      <c r="EY16" t="e">
        <f>AND(ARTES!A33,"AAAAAH3fZpo=")</f>
        <v>#VALUE!</v>
      </c>
      <c r="EZ16" t="e">
        <f>AND(ARTES!B33,"AAAAAH3fZps=")</f>
        <v>#VALUE!</v>
      </c>
      <c r="FA16" t="e">
        <f>AND(ARTES!C33,"AAAAAH3fZpw=")</f>
        <v>#VALUE!</v>
      </c>
      <c r="FB16" t="e">
        <f>AND(ARTES!D33,"AAAAAH3fZp0=")</f>
        <v>#VALUE!</v>
      </c>
      <c r="FC16" t="e">
        <f>AND(ARTES!E33,"AAAAAH3fZp4=")</f>
        <v>#VALUE!</v>
      </c>
      <c r="FD16" t="e">
        <f>AND(ARTES!F33,"AAAAAH3fZp8=")</f>
        <v>#VALUE!</v>
      </c>
      <c r="FE16" t="e">
        <f>AND(ARTES!G33,"AAAAAH3fZqA=")</f>
        <v>#VALUE!</v>
      </c>
      <c r="FF16" t="e">
        <f>AND(ARTES!H33,"AAAAAH3fZqE=")</f>
        <v>#VALUE!</v>
      </c>
      <c r="FG16" t="e">
        <f>AND(ARTES!I33,"AAAAAH3fZqI=")</f>
        <v>#VALUE!</v>
      </c>
      <c r="FH16" t="e">
        <f>AND(ARTES!J33,"AAAAAH3fZqM=")</f>
        <v>#VALUE!</v>
      </c>
      <c r="FI16" t="e">
        <f>AND(ARTES!K33,"AAAAAH3fZqQ=")</f>
        <v>#VALUE!</v>
      </c>
      <c r="FJ16" t="e">
        <f>AND(ARTES!L33,"AAAAAH3fZqU=")</f>
        <v>#VALUE!</v>
      </c>
      <c r="FK16" t="e">
        <f>IF(ARTES!A:A,"AAAAAH3fZqY=",0)</f>
        <v>#VALUE!</v>
      </c>
      <c r="FL16">
        <f>IF(ARTES!B:B,"AAAAAH3fZqc=",0)</f>
        <v>0</v>
      </c>
      <c r="FM16">
        <f>IF(ARTES!C:C,"AAAAAH3fZqg=",0)</f>
        <v>0</v>
      </c>
      <c r="FN16">
        <f>IF(ARTES!D:D,"AAAAAH3fZqk=",0)</f>
        <v>0</v>
      </c>
      <c r="FO16">
        <f>IF(ARTES!E:E,"AAAAAH3fZqo=",0)</f>
        <v>0</v>
      </c>
      <c r="FP16">
        <f>IF(ARTES!F:F,"AAAAAH3fZqs=",0)</f>
        <v>0</v>
      </c>
      <c r="FQ16">
        <f>IF(ARTES!G:G,"AAAAAH3fZqw=",0)</f>
        <v>0</v>
      </c>
      <c r="FR16">
        <f>IF(ARTES!H:H,"AAAAAH3fZq0=",0)</f>
        <v>0</v>
      </c>
      <c r="FS16">
        <f>IF(ARTES!I:I,"AAAAAH3fZq4=",0)</f>
        <v>0</v>
      </c>
      <c r="FT16">
        <f>IF(ARTES!J:J,"AAAAAH3fZq8=",0)</f>
        <v>0</v>
      </c>
      <c r="FU16">
        <f>IF(ARTES!K:K,"AAAAAH3fZrA=",0)</f>
        <v>0</v>
      </c>
      <c r="FV16">
        <f>IF(ARTES!L:L,"AAAAAH3fZrE=",0)</f>
        <v>0</v>
      </c>
      <c r="FW16">
        <f>IF(Hoja2!1:1,"AAAAAH3fZrI=",0)</f>
        <v>0</v>
      </c>
      <c r="FX16" t="e">
        <f>AND(Hoja2!A1,"AAAAAH3fZrM=")</f>
        <v>#VALUE!</v>
      </c>
      <c r="FY16">
        <f>IF(Hoja2!A:A,"AAAAAH3fZrQ=",0)</f>
        <v>0</v>
      </c>
    </row>
  </sheetData>
  <pageMargins left="0.7" right="0.7" top="0.75" bottom="0.75" header="0.3" footer="0.3"/>
  <customProperties>
    <customPr name="DVSECTIONI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9"/>
  <dimension ref="A1:L33"/>
  <sheetViews>
    <sheetView tabSelected="1" zoomScale="75" workbookViewId="0">
      <selection activeCell="D3" sqref="D3:L3"/>
    </sheetView>
  </sheetViews>
  <sheetFormatPr baseColWidth="10" defaultRowHeight="12.75"/>
  <cols>
    <col min="1" max="5" width="11.42578125" style="2"/>
    <col min="6" max="6" width="9.140625" style="2" customWidth="1"/>
    <col min="7" max="9" width="11.42578125" style="2"/>
    <col min="10" max="10" width="7.42578125" style="2" customWidth="1"/>
    <col min="11" max="16384" width="11.42578125" style="2"/>
  </cols>
  <sheetData>
    <row r="1" spans="1:12" ht="17.25" thickBot="1">
      <c r="A1" s="3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0.25" thickBot="1">
      <c r="A2" s="4" t="s">
        <v>31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16.5">
      <c r="A3" s="41" t="s">
        <v>0</v>
      </c>
      <c r="B3" s="41"/>
      <c r="C3" s="41"/>
      <c r="D3" s="41" t="s">
        <v>1</v>
      </c>
      <c r="E3" s="41"/>
      <c r="F3" s="41"/>
      <c r="G3" s="41"/>
      <c r="H3" s="41"/>
      <c r="I3" s="41"/>
      <c r="J3" s="41"/>
      <c r="K3" s="41"/>
      <c r="L3" s="41"/>
    </row>
    <row r="4" spans="1:12" ht="12.75" customHeight="1">
      <c r="A4" s="34" t="s">
        <v>24</v>
      </c>
      <c r="B4" s="35"/>
      <c r="C4" s="35"/>
      <c r="D4" s="35"/>
      <c r="E4" s="35"/>
      <c r="F4" s="35"/>
      <c r="G4" s="36"/>
      <c r="H4" s="42" t="s">
        <v>29</v>
      </c>
      <c r="I4" s="43"/>
      <c r="J4" s="43"/>
      <c r="K4" s="43"/>
      <c r="L4" s="44"/>
    </row>
    <row r="5" spans="1:12" ht="12.75" customHeight="1">
      <c r="A5" s="37"/>
      <c r="B5" s="16"/>
      <c r="C5" s="16"/>
      <c r="D5" s="16"/>
      <c r="E5" s="16"/>
      <c r="F5" s="16"/>
      <c r="G5" s="32"/>
      <c r="H5" s="45"/>
      <c r="I5" s="46"/>
      <c r="J5" s="46"/>
      <c r="K5" s="46"/>
      <c r="L5" s="47"/>
    </row>
    <row r="6" spans="1:12" ht="13.5" customHeight="1">
      <c r="A6" s="38"/>
      <c r="B6" s="39"/>
      <c r="C6" s="39"/>
      <c r="D6" s="39"/>
      <c r="E6" s="39"/>
      <c r="F6" s="39"/>
      <c r="G6" s="40"/>
      <c r="H6" s="48"/>
      <c r="I6" s="49"/>
      <c r="J6" s="49"/>
      <c r="K6" s="49"/>
      <c r="L6" s="50"/>
    </row>
    <row r="7" spans="1:12" ht="17.25" thickBot="1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2" ht="16.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6.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spans="1:12" ht="16.5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ht="16.5">
      <c r="A11" s="9" t="s">
        <v>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pans="1:12" ht="16.5">
      <c r="A12" s="9" t="s">
        <v>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16.5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16.5">
      <c r="A14" s="9" t="s">
        <v>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6.5">
      <c r="A15" s="9" t="s">
        <v>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2" ht="16.5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6.5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6.5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6.5">
      <c r="A19" s="9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1:12" ht="16.5">
      <c r="A20" s="9" t="s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16.5">
      <c r="A21" s="9" t="s">
        <v>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ht="16.5">
      <c r="A22" s="9" t="s">
        <v>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6.5">
      <c r="A23" s="9" t="s">
        <v>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7.25" thickBot="1">
      <c r="A24" s="11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7.25" thickBot="1">
      <c r="A25" s="3" t="s">
        <v>8</v>
      </c>
      <c r="B25" s="3"/>
      <c r="C25" s="66" t="s">
        <v>25</v>
      </c>
      <c r="D25" s="67"/>
      <c r="E25" s="67"/>
      <c r="F25" s="67"/>
      <c r="G25" s="67"/>
      <c r="H25" s="67"/>
      <c r="I25" s="67"/>
      <c r="J25" s="68"/>
      <c r="K25" s="3" t="s">
        <v>9</v>
      </c>
      <c r="L25" s="3"/>
    </row>
    <row r="26" spans="1:12" ht="16.5">
      <c r="A26" s="8"/>
      <c r="B26" s="8"/>
      <c r="C26" s="60"/>
      <c r="D26" s="61"/>
      <c r="E26" s="61"/>
      <c r="F26" s="61"/>
      <c r="G26" s="61"/>
      <c r="H26" s="61"/>
      <c r="I26" s="61"/>
      <c r="J26" s="62"/>
      <c r="K26" s="8"/>
      <c r="L26" s="8"/>
    </row>
    <row r="27" spans="1:12" ht="16.5">
      <c r="A27" s="9"/>
      <c r="B27" s="9"/>
      <c r="C27" s="51"/>
      <c r="D27" s="52"/>
      <c r="E27" s="52"/>
      <c r="F27" s="52"/>
      <c r="G27" s="52"/>
      <c r="H27" s="52"/>
      <c r="I27" s="52"/>
      <c r="J27" s="53"/>
      <c r="K27" s="9"/>
      <c r="L27" s="9"/>
    </row>
    <row r="28" spans="1:12" ht="16.5">
      <c r="A28" s="9"/>
      <c r="B28" s="9"/>
      <c r="C28" s="51"/>
      <c r="D28" s="52"/>
      <c r="E28" s="52"/>
      <c r="F28" s="52"/>
      <c r="G28" s="52"/>
      <c r="H28" s="52"/>
      <c r="I28" s="52"/>
      <c r="J28" s="53"/>
      <c r="K28" s="9"/>
      <c r="L28" s="9"/>
    </row>
    <row r="29" spans="1:12" ht="16.5">
      <c r="A29" s="9"/>
      <c r="B29" s="9"/>
      <c r="C29" s="51"/>
      <c r="D29" s="52"/>
      <c r="E29" s="52"/>
      <c r="F29" s="52"/>
      <c r="G29" s="52"/>
      <c r="H29" s="52"/>
      <c r="I29" s="52"/>
      <c r="J29" s="53"/>
      <c r="K29" s="9"/>
      <c r="L29" s="9"/>
    </row>
    <row r="30" spans="1:12" ht="16.5">
      <c r="A30" s="9"/>
      <c r="B30" s="9"/>
      <c r="C30" s="51"/>
      <c r="D30" s="52"/>
      <c r="E30" s="52"/>
      <c r="F30" s="52"/>
      <c r="G30" s="52"/>
      <c r="H30" s="52"/>
      <c r="I30" s="52"/>
      <c r="J30" s="53"/>
      <c r="K30" s="9"/>
      <c r="L30" s="9"/>
    </row>
    <row r="31" spans="1:12" ht="17.25" thickBot="1">
      <c r="A31" s="11"/>
      <c r="B31" s="11"/>
      <c r="C31" s="57"/>
      <c r="D31" s="58"/>
      <c r="E31" s="58"/>
      <c r="F31" s="58"/>
      <c r="G31" s="58"/>
      <c r="H31" s="58"/>
      <c r="I31" s="58"/>
      <c r="J31" s="59"/>
      <c r="K31" s="11"/>
      <c r="L31" s="11"/>
    </row>
    <row r="32" spans="1:12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mergeCells count="45">
    <mergeCell ref="C31:J31"/>
    <mergeCell ref="A31:B31"/>
    <mergeCell ref="K31:L31"/>
    <mergeCell ref="C25:J25"/>
    <mergeCell ref="C26:J26"/>
    <mergeCell ref="C27:J27"/>
    <mergeCell ref="C28:J28"/>
    <mergeCell ref="C29:J29"/>
    <mergeCell ref="C30:J30"/>
    <mergeCell ref="A29:B29"/>
    <mergeCell ref="K29:L29"/>
    <mergeCell ref="A30:B30"/>
    <mergeCell ref="K30:L30"/>
    <mergeCell ref="A27:B27"/>
    <mergeCell ref="K27:L27"/>
    <mergeCell ref="A28:B28"/>
    <mergeCell ref="K28:L28"/>
    <mergeCell ref="A25:B25"/>
    <mergeCell ref="K25:L25"/>
    <mergeCell ref="A26:B26"/>
    <mergeCell ref="K26:L26"/>
    <mergeCell ref="A19:L19"/>
    <mergeCell ref="A20:L20"/>
    <mergeCell ref="A21:L21"/>
    <mergeCell ref="A22:L22"/>
    <mergeCell ref="A23:L23"/>
    <mergeCell ref="A24:L24"/>
    <mergeCell ref="A13:L13"/>
    <mergeCell ref="A14:L14"/>
    <mergeCell ref="A15:L15"/>
    <mergeCell ref="A16:L16"/>
    <mergeCell ref="A17:L17"/>
    <mergeCell ref="A18:L18"/>
    <mergeCell ref="A7:L7"/>
    <mergeCell ref="A8:L8"/>
    <mergeCell ref="A9:L9"/>
    <mergeCell ref="A10:L10"/>
    <mergeCell ref="A11:L11"/>
    <mergeCell ref="A12:L12"/>
    <mergeCell ref="A1:L1"/>
    <mergeCell ref="A2:L2"/>
    <mergeCell ref="A3:C3"/>
    <mergeCell ref="D3:L3"/>
    <mergeCell ref="A4:G6"/>
    <mergeCell ref="H4:L6"/>
  </mergeCells>
  <pageMargins left="0.98425196850393704" right="0.39370078740157483" top="0.39370078740157483" bottom="0.39370078740157483" header="0" footer="0"/>
  <pageSetup paperSize="9" orientation="landscape" horizontalDpi="1200" verticalDpi="1200" r:id="rId1"/>
  <headerFooter alignWithMargins="0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ESP.</vt:lpstr>
      <vt:lpstr>MAT.</vt:lpstr>
      <vt:lpstr>HIST.</vt:lpstr>
      <vt:lpstr>GEO.</vt:lpstr>
      <vt:lpstr>CIV.</vt:lpstr>
      <vt:lpstr>CIENCIAS</vt:lpstr>
      <vt:lpstr>EDUFISICA</vt:lpstr>
      <vt:lpstr>ARTES</vt:lpstr>
      <vt:lpstr>Hoja2</vt:lpstr>
    </vt:vector>
  </TitlesOfParts>
  <Company>THEOS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Enciclomedia</dc:creator>
  <cp:lastModifiedBy>Usuario</cp:lastModifiedBy>
  <cp:lastPrinted>2011-11-12T06:34:43Z</cp:lastPrinted>
  <dcterms:created xsi:type="dcterms:W3CDTF">2010-07-21T15:19:13Z</dcterms:created>
  <dcterms:modified xsi:type="dcterms:W3CDTF">2011-11-15T19:14:01Z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1SC0jtFTS966KrlbzH56Tbk41Osega1zTwT9AOHBeguo</vt:lpwstr>
  </property>
  <property fmtid="{D5CDD505-2E9C-101B-9397-08002B2CF9AE}" pid="4" name="Google.Documents.RevisionId">
    <vt:lpwstr>09109283154134935143</vt:lpwstr>
  </property>
  <property fmtid="{D5CDD505-2E9C-101B-9397-08002B2CF9AE}" pid="5" name="Google.Documents.PreviousRevisionId">
    <vt:lpwstr>13225826783185846913</vt:lpwstr>
  </property>
  <property fmtid="{D5CDD505-2E9C-101B-9397-08002B2CF9AE}" pid="6" name="Google.Documents.PluginVersion">
    <vt:lpwstr>2.0.2424.7283</vt:lpwstr>
  </property>
  <property fmtid="{D5CDD505-2E9C-101B-9397-08002B2CF9AE}" pid="7" name="Google.Documents.MergeIncapabilityFlags">
    <vt:i4>0</vt:i4>
  </property>
</Properties>
</file>